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TableHH Aug04" sheetId="1" r:id="rId1"/>
    <sheet name="TableEnum Dec04" sheetId="2" r:id="rId2"/>
    <sheet name="TableRPers Oct04" sheetId="3" r:id="rId3"/>
    <sheet name="AHHTYPE" sheetId="4" r:id="rId4"/>
  </sheets>
  <definedNames/>
  <calcPr fullCalcOnLoad="1"/>
</workbook>
</file>

<file path=xl/sharedStrings.xml><?xml version="1.0" encoding="utf-8"?>
<sst xmlns="http://schemas.openxmlformats.org/spreadsheetml/2006/main" count="176" uniqueCount="120">
  <si>
    <t>GUIDE TO HILDA STANDARD ERRORS</t>
  </si>
  <si>
    <t>Estimate   ('000 households)</t>
  </si>
  <si>
    <t>HILDA Wave1 2001, Cross Section: Indicative Relative Standard Errors (%)</t>
  </si>
  <si>
    <t xml:space="preserve"> HOUSEHOLDS, By household type</t>
  </si>
  <si>
    <t>ALL HHlds</t>
  </si>
  <si>
    <t>hhtype1-3</t>
  </si>
  <si>
    <t>hhtype4</t>
  </si>
  <si>
    <t>hhtype5-8</t>
  </si>
  <si>
    <t>hhtype10-12</t>
  </si>
  <si>
    <t>hhtype13-15</t>
  </si>
  <si>
    <t>hhtype16-21</t>
  </si>
  <si>
    <t>hhtype22-23</t>
  </si>
  <si>
    <t>hhtype24</t>
  </si>
  <si>
    <t>hhtype25-26</t>
  </si>
  <si>
    <t>RSE (PERCENT)</t>
  </si>
  <si>
    <t>Cut-off Level</t>
  </si>
  <si>
    <t>CUT-OFFS</t>
  </si>
  <si>
    <t>MODEL DETAILS</t>
  </si>
  <si>
    <t>Fitted curve</t>
  </si>
  <si>
    <t>Data points</t>
  </si>
  <si>
    <t>Do it your self RSE estimate:</t>
  </si>
  <si>
    <t>Estimate</t>
  </si>
  <si>
    <t>Enter estimate in the green box, in thousands of households; read off modelled RSE in the appropriate yellow box</t>
  </si>
  <si>
    <r>
      <t>33.461x</t>
    </r>
    <r>
      <rPr>
        <vertAlign val="superscript"/>
        <sz val="8.5"/>
        <rFont val="Times New Roman"/>
        <family val="1"/>
      </rPr>
      <t>-0.5064</t>
    </r>
  </si>
  <si>
    <r>
      <t>37.057x</t>
    </r>
    <r>
      <rPr>
        <vertAlign val="superscript"/>
        <sz val="8.5"/>
        <rFont val="Times New Roman"/>
        <family val="1"/>
      </rPr>
      <t>-0.5231</t>
    </r>
  </si>
  <si>
    <r>
      <t>32.7x</t>
    </r>
    <r>
      <rPr>
        <vertAlign val="superscript"/>
        <sz val="8.5"/>
        <rFont val="Times New Roman"/>
        <family val="1"/>
      </rPr>
      <t>-0.509</t>
    </r>
  </si>
  <si>
    <r>
      <t>25.345x</t>
    </r>
    <r>
      <rPr>
        <vertAlign val="superscript"/>
        <sz val="8.5"/>
        <rFont val="Times New Roman"/>
        <family val="1"/>
      </rPr>
      <t>-0.4622</t>
    </r>
  </si>
  <si>
    <r>
      <t>30.1x</t>
    </r>
    <r>
      <rPr>
        <vertAlign val="superscript"/>
        <sz val="8.5"/>
        <rFont val="Times New Roman"/>
        <family val="1"/>
      </rPr>
      <t>-0.4861</t>
    </r>
  </si>
  <si>
    <r>
      <t>25.432x</t>
    </r>
    <r>
      <rPr>
        <vertAlign val="superscript"/>
        <sz val="8.5"/>
        <rFont val="Times New Roman"/>
        <family val="1"/>
      </rPr>
      <t>-0.4775</t>
    </r>
  </si>
  <si>
    <r>
      <t>23.995x</t>
    </r>
    <r>
      <rPr>
        <vertAlign val="superscript"/>
        <sz val="8.5"/>
        <rFont val="Times New Roman"/>
        <family val="1"/>
      </rPr>
      <t>-0.4596</t>
    </r>
  </si>
  <si>
    <r>
      <t>33.459x</t>
    </r>
    <r>
      <rPr>
        <vertAlign val="superscript"/>
        <sz val="8.5"/>
        <rFont val="Times New Roman"/>
        <family val="1"/>
      </rPr>
      <t>-0.5038</t>
    </r>
  </si>
  <si>
    <r>
      <t>51.672x</t>
    </r>
    <r>
      <rPr>
        <vertAlign val="superscript"/>
        <sz val="8.5"/>
        <rFont val="Times New Roman"/>
        <family val="1"/>
      </rPr>
      <t>-0.5536</t>
    </r>
  </si>
  <si>
    <r>
      <t>15.958x</t>
    </r>
    <r>
      <rPr>
        <vertAlign val="superscript"/>
        <sz val="8.5"/>
        <rFont val="Times New Roman"/>
        <family val="1"/>
      </rPr>
      <t>-0.3999</t>
    </r>
  </si>
  <si>
    <r>
      <t>R</t>
    </r>
    <r>
      <rPr>
        <vertAlign val="superscript"/>
        <sz val="10"/>
        <color indexed="60"/>
        <rFont val="Times New Roman"/>
        <family val="1"/>
      </rPr>
      <t>2</t>
    </r>
  </si>
  <si>
    <t>Estimate   ('000 persons)</t>
  </si>
  <si>
    <t>RESPONDING PERSONS, Sex and Marital Status</t>
  </si>
  <si>
    <t>PERSONS, Aged 15 years and over</t>
  </si>
  <si>
    <t>FEMALES</t>
  </si>
  <si>
    <t>MALES</t>
  </si>
  <si>
    <t>MARRIED/ DE FACTO</t>
  </si>
  <si>
    <t>SEPARATED/ DIVORCED/ WIDOWED</t>
  </si>
  <si>
    <t>SINGLE</t>
  </si>
  <si>
    <r>
      <t>33.179x</t>
    </r>
    <r>
      <rPr>
        <vertAlign val="superscript"/>
        <sz val="8.5"/>
        <rFont val="Times New Roman"/>
        <family val="1"/>
      </rPr>
      <t>-0.4884</t>
    </r>
  </si>
  <si>
    <r>
      <t>33.597x</t>
    </r>
    <r>
      <rPr>
        <vertAlign val="superscript"/>
        <sz val="8.5"/>
        <rFont val="Times New Roman"/>
        <family val="1"/>
      </rPr>
      <t>-0.4918</t>
    </r>
  </si>
  <si>
    <r>
      <t>32.965x</t>
    </r>
    <r>
      <rPr>
        <vertAlign val="superscript"/>
        <sz val="8.5"/>
        <rFont val="Times New Roman"/>
        <family val="1"/>
      </rPr>
      <t>-0.4855</t>
    </r>
  </si>
  <si>
    <r>
      <t>28.683x</t>
    </r>
    <r>
      <rPr>
        <vertAlign val="superscript"/>
        <sz val="8.5"/>
        <rFont val="Times New Roman"/>
        <family val="1"/>
      </rPr>
      <t>-0.4761</t>
    </r>
  </si>
  <si>
    <r>
      <t>26.973x</t>
    </r>
    <r>
      <rPr>
        <vertAlign val="superscript"/>
        <sz val="8.5"/>
        <rFont val="Times New Roman"/>
        <family val="1"/>
      </rPr>
      <t>-0.4583</t>
    </r>
  </si>
  <si>
    <r>
      <t>45.455x</t>
    </r>
    <r>
      <rPr>
        <vertAlign val="superscript"/>
        <sz val="8.5"/>
        <rFont val="Times New Roman"/>
        <family val="1"/>
      </rPr>
      <t>-0.5308</t>
    </r>
  </si>
  <si>
    <t>Do it your self RSE estimate Calculator:</t>
  </si>
  <si>
    <t>Oct12 2004, Dept of Family&amp;Community Services</t>
  </si>
  <si>
    <r>
      <t>GUIDE TO HILDA STANDARD ERRORS [</t>
    </r>
    <r>
      <rPr>
        <b/>
        <sz val="10"/>
        <rFont val="Times New Roman"/>
        <family val="1"/>
      </rPr>
      <t>Revised version of table on p12of the MI HILDA Wave1 SE Guide</t>
    </r>
    <r>
      <rPr>
        <sz val="10"/>
        <rFont val="Times New Roman"/>
        <family val="1"/>
      </rPr>
      <t>]</t>
    </r>
  </si>
  <si>
    <t>Note: the modelled responding persons estimate RSEs are smoothed versions of RSE estimates obtained directly using the grouped jack-knife formula, grouping on PSU, and 15 replications.  The underlying table used to build the models is Responding  Persons  by Sex by Marital Status by Household Type. A small number of estimates were removed for purposes of fitting: namely estimates for unstated marital status, and a single anomalous estimate, widowed males form Qld with household type25. The estimate of 35th has an RSE of over 50%.</t>
  </si>
  <si>
    <t>AHHTYPE  DV: Household type</t>
  </si>
  <si>
    <t> </t>
  </si>
  <si>
    <t>Request Data</t>
  </si>
  <si>
    <t>EnumPersFile</t>
  </si>
  <si>
    <t>HH file</t>
  </si>
  <si>
    <t xml:space="preserve">                                                                </t>
  </si>
  <si>
    <t>AHHTYPE</t>
  </si>
  <si>
    <t xml:space="preserve">   Frequency </t>
  </si>
  <si>
    <t xml:space="preserve">  Percent </t>
  </si>
  <si>
    <t>WtdEst</t>
  </si>
  <si>
    <t>_est_(wtd)</t>
  </si>
  <si>
    <t xml:space="preserve">  Percent (wtd)</t>
  </si>
  <si>
    <t>_se_</t>
  </si>
  <si>
    <t>_rse_</t>
  </si>
  <si>
    <t>FREQ</t>
  </si>
  <si>
    <t>SE</t>
  </si>
  <si>
    <t>RSE</t>
  </si>
  <si>
    <t xml:space="preserve">Couple family wo children or others               </t>
  </si>
  <si>
    <t xml:space="preserve">Couple family wo children w other related        </t>
  </si>
  <si>
    <t xml:space="preserve">Couple family wo children w other not related      </t>
  </si>
  <si>
    <t xml:space="preserve">Couple family with children&lt;15 wo others          </t>
  </si>
  <si>
    <t xml:space="preserve">Couple family with children&lt;15 w other related    </t>
  </si>
  <si>
    <t xml:space="preserve">Couple family with children&lt;15 w other not related </t>
  </si>
  <si>
    <t xml:space="preserve">Couple family with depst wo others                </t>
  </si>
  <si>
    <t xml:space="preserve">Couple family with depst w other related           </t>
  </si>
  <si>
    <t xml:space="preserve">Couple family with ndepchild wo others          </t>
  </si>
  <si>
    <t xml:space="preserve">Couple family with ndepchild w other related     </t>
  </si>
  <si>
    <t xml:space="preserve">Couple family with ndepchild w other not related </t>
  </si>
  <si>
    <t xml:space="preserve">Lone parent with children&lt;15 wo others           </t>
  </si>
  <si>
    <t xml:space="preserve">Lone parent with children&lt;15 w other related      </t>
  </si>
  <si>
    <t xml:space="preserve">Lone parent with children&lt;15 w other not related </t>
  </si>
  <si>
    <t xml:space="preserve">Lone parent with depst wo others                </t>
  </si>
  <si>
    <t xml:space="preserve">Lone parent with depst w other related            </t>
  </si>
  <si>
    <t xml:space="preserve">Lone parent with depst w other not related       </t>
  </si>
  <si>
    <t xml:space="preserve">Lone parent with ndepchild wo others             </t>
  </si>
  <si>
    <t xml:space="preserve">Lone parent with ndepchild w other related       </t>
  </si>
  <si>
    <t xml:space="preserve">Lone parent with ndepchild w other not related    </t>
  </si>
  <si>
    <t xml:space="preserve">Other related family wo children&lt;15 or others     </t>
  </si>
  <si>
    <t xml:space="preserve">Other related family wo children&lt;15 w others      </t>
  </si>
  <si>
    <t xml:space="preserve">Lone person                                       </t>
  </si>
  <si>
    <t xml:space="preserve">Group household                                  </t>
  </si>
  <si>
    <t xml:space="preserve">Multi family household                           </t>
  </si>
  <si>
    <t xml:space="preserve">   Total                                                </t>
  </si>
  <si>
    <t xml:space="preserve"> ENUMERATED PERSONS, Household Structure</t>
  </si>
  <si>
    <t>Children</t>
  </si>
  <si>
    <t>Adults</t>
  </si>
  <si>
    <t>HOUSEHOLD STRUCTURE</t>
  </si>
  <si>
    <t>Total</t>
  </si>
  <si>
    <t>Females</t>
  </si>
  <si>
    <t>Males</t>
  </si>
  <si>
    <t>1Adult</t>
  </si>
  <si>
    <t>2Adults 0-2 children</t>
  </si>
  <si>
    <t>2Adults 3plus children</t>
  </si>
  <si>
    <t>3 or more Adults</t>
  </si>
  <si>
    <t>No children</t>
  </si>
  <si>
    <t>Children present</t>
  </si>
  <si>
    <t>Popn ('000)</t>
  </si>
  <si>
    <t>Enter estimate in the green box; read off modelled RSE in the appropriate yellow box</t>
  </si>
  <si>
    <r>
      <t>34.639x</t>
    </r>
    <r>
      <rPr>
        <i/>
        <vertAlign val="superscript"/>
        <sz val="8"/>
        <rFont val="Times New Roman"/>
        <family val="1"/>
      </rPr>
      <t>-0.4915</t>
    </r>
  </si>
  <si>
    <r>
      <t>32.779x</t>
    </r>
    <r>
      <rPr>
        <i/>
        <vertAlign val="superscript"/>
        <sz val="8"/>
        <rFont val="Times New Roman"/>
        <family val="1"/>
      </rPr>
      <t>-0.4863</t>
    </r>
  </si>
  <si>
    <r>
      <t>33.318x</t>
    </r>
    <r>
      <rPr>
        <i/>
        <vertAlign val="superscript"/>
        <sz val="8"/>
        <rFont val="Times New Roman"/>
        <family val="1"/>
      </rPr>
      <t>-0.4882</t>
    </r>
  </si>
  <si>
    <r>
      <t>32.247x</t>
    </r>
    <r>
      <rPr>
        <i/>
        <vertAlign val="superscript"/>
        <sz val="8"/>
        <rFont val="Times New Roman"/>
        <family val="1"/>
      </rPr>
      <t>-0.4844</t>
    </r>
  </si>
  <si>
    <r>
      <t>22.647x</t>
    </r>
    <r>
      <rPr>
        <i/>
        <vertAlign val="superscript"/>
        <sz val="8"/>
        <rFont val="Times New Roman"/>
        <family val="1"/>
      </rPr>
      <t>-0.4631</t>
    </r>
  </si>
  <si>
    <r>
      <t>44.855x</t>
    </r>
    <r>
      <rPr>
        <i/>
        <vertAlign val="superscript"/>
        <sz val="8"/>
        <rFont val="Times New Roman"/>
        <family val="1"/>
      </rPr>
      <t>-0.5393</t>
    </r>
  </si>
  <si>
    <r>
      <t>23.641x</t>
    </r>
    <r>
      <rPr>
        <i/>
        <vertAlign val="superscript"/>
        <sz val="8"/>
        <rFont val="Times New Roman"/>
        <family val="1"/>
      </rPr>
      <t>-0.4539</t>
    </r>
  </si>
  <si>
    <r>
      <t>22.474x</t>
    </r>
    <r>
      <rPr>
        <i/>
        <vertAlign val="superscript"/>
        <sz val="8"/>
        <rFont val="Times New Roman"/>
        <family val="1"/>
      </rPr>
      <t>-0.4288</t>
    </r>
  </si>
  <si>
    <r>
      <t>90.664x</t>
    </r>
    <r>
      <rPr>
        <i/>
        <vertAlign val="superscript"/>
        <sz val="8"/>
        <rFont val="Times New Roman"/>
        <family val="1"/>
      </rPr>
      <t>-0.5756</t>
    </r>
  </si>
  <si>
    <r>
      <t>31.859x</t>
    </r>
    <r>
      <rPr>
        <i/>
        <vertAlign val="superscript"/>
        <sz val="8"/>
        <rFont val="Times New Roman"/>
        <family val="1"/>
      </rPr>
      <t>-0.4845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</si>
</sst>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0"/>
    <numFmt numFmtId="170" formatCode="#,##0.0"/>
    <numFmt numFmtId="171" formatCode="#,###,#00"/>
    <numFmt numFmtId="172" formatCode="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sz val="8.5"/>
      <color indexed="23"/>
      <name val="Times New Roman"/>
      <family val="1"/>
    </font>
    <font>
      <sz val="8.5"/>
      <color indexed="16"/>
      <name val="Times New Roman"/>
      <family val="1"/>
    </font>
    <font>
      <sz val="8.5"/>
      <color indexed="22"/>
      <name val="Times New Roman"/>
      <family val="1"/>
    </font>
    <font>
      <sz val="10"/>
      <color indexed="23"/>
      <name val="Times New Roman"/>
      <family val="1"/>
    </font>
    <font>
      <sz val="10"/>
      <color indexed="16"/>
      <name val="Times New Roman"/>
      <family val="1"/>
    </font>
    <font>
      <sz val="8.5"/>
      <color indexed="22"/>
      <name val="MS Sans Serif"/>
      <family val="2"/>
    </font>
    <font>
      <sz val="10"/>
      <color indexed="22"/>
      <name val="Times New Roman"/>
      <family val="1"/>
    </font>
    <font>
      <vertAlign val="superscript"/>
      <sz val="8.5"/>
      <name val="Times New Roman"/>
      <family val="1"/>
    </font>
    <font>
      <vertAlign val="superscript"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8.5"/>
      <color indexed="60"/>
      <name val="Times New Roman"/>
      <family val="1"/>
    </font>
    <font>
      <i/>
      <sz val="8.5"/>
      <name val="Times New Roman"/>
      <family val="1"/>
    </font>
    <font>
      <b/>
      <sz val="8.5"/>
      <name val="MS Sans Serif"/>
      <family val="2"/>
    </font>
    <font>
      <sz val="8.5"/>
      <color indexed="16"/>
      <name val="MS Sans Serif"/>
      <family val="2"/>
    </font>
    <font>
      <b/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8"/>
      <color indexed="54"/>
      <name val="Times New Roman"/>
      <family val="1"/>
    </font>
    <font>
      <sz val="8"/>
      <color indexed="16"/>
      <name val="Times New Roman"/>
      <family val="1"/>
    </font>
    <font>
      <sz val="12"/>
      <name val="Times New Roman"/>
      <family val="1"/>
    </font>
    <font>
      <sz val="8.5"/>
      <color indexed="62"/>
      <name val="Times New Roman"/>
      <family val="1"/>
    </font>
    <font>
      <sz val="8"/>
      <color indexed="62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9" fontId="6" fillId="0" borderId="0" xfId="0" applyNumberFormat="1" applyFont="1" applyAlignment="1">
      <alignment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164" fontId="16" fillId="0" borderId="4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1" fontId="17" fillId="0" borderId="6" xfId="0" applyNumberFormat="1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9" fillId="2" borderId="9" xfId="0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3" fontId="9" fillId="4" borderId="7" xfId="0" applyNumberFormat="1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12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Alignment="1">
      <alignment horizontal="center"/>
    </xf>
    <xf numFmtId="3" fontId="10" fillId="5" borderId="6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3" fontId="10" fillId="5" borderId="14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164" fontId="4" fillId="0" borderId="8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22" fillId="0" borderId="6" xfId="0" applyNumberFormat="1" applyFont="1" applyBorder="1" applyAlignment="1">
      <alignment/>
    </xf>
    <xf numFmtId="0" fontId="22" fillId="0" borderId="2" xfId="0" applyFont="1" applyBorder="1" applyAlignment="1">
      <alignment/>
    </xf>
    <xf numFmtId="3" fontId="22" fillId="0" borderId="2" xfId="0" applyNumberFormat="1" applyFont="1" applyBorder="1" applyAlignment="1">
      <alignment/>
    </xf>
    <xf numFmtId="164" fontId="22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22" fillId="0" borderId="4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3" fillId="6" borderId="4" xfId="0" applyNumberFormat="1" applyFont="1" applyFill="1" applyBorder="1" applyAlignment="1">
      <alignment horizontal="center"/>
    </xf>
    <xf numFmtId="3" fontId="23" fillId="6" borderId="0" xfId="0" applyNumberFormat="1" applyFont="1" applyFill="1" applyBorder="1" applyAlignment="1">
      <alignment horizontal="center"/>
    </xf>
    <xf numFmtId="164" fontId="23" fillId="6" borderId="13" xfId="0" applyNumberFormat="1" applyFont="1" applyFill="1" applyBorder="1" applyAlignment="1">
      <alignment horizontal="center"/>
    </xf>
    <xf numFmtId="3" fontId="24" fillId="5" borderId="4" xfId="0" applyNumberFormat="1" applyFont="1" applyFill="1" applyBorder="1" applyAlignment="1">
      <alignment horizontal="center"/>
    </xf>
    <xf numFmtId="3" fontId="24" fillId="5" borderId="0" xfId="0" applyNumberFormat="1" applyFont="1" applyFill="1" applyBorder="1" applyAlignment="1">
      <alignment horizontal="center"/>
    </xf>
    <xf numFmtId="164" fontId="24" fillId="5" borderId="13" xfId="0" applyNumberFormat="1" applyFont="1" applyFill="1" applyBorder="1" applyAlignment="1">
      <alignment horizontal="center"/>
    </xf>
    <xf numFmtId="3" fontId="22" fillId="0" borderId="6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3" fontId="22" fillId="0" borderId="5" xfId="0" applyNumberFormat="1" applyFont="1" applyBorder="1" applyAlignment="1">
      <alignment horizontal="center"/>
    </xf>
    <xf numFmtId="3" fontId="22" fillId="7" borderId="0" xfId="0" applyNumberFormat="1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164" fontId="22" fillId="7" borderId="0" xfId="0" applyNumberFormat="1" applyFont="1" applyFill="1" applyAlignment="1">
      <alignment horizontal="center"/>
    </xf>
    <xf numFmtId="0" fontId="25" fillId="0" borderId="0" xfId="0" applyFont="1" applyAlignment="1">
      <alignment/>
    </xf>
    <xf numFmtId="0" fontId="2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70" fontId="27" fillId="0" borderId="2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170" fontId="27" fillId="0" borderId="1" xfId="0" applyNumberFormat="1" applyFont="1" applyBorder="1" applyAlignment="1">
      <alignment horizontal="center" vertical="center"/>
    </xf>
    <xf numFmtId="170" fontId="27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2" fillId="0" borderId="5" xfId="0" applyFont="1" applyBorder="1" applyAlignment="1">
      <alignment/>
    </xf>
    <xf numFmtId="0" fontId="22" fillId="0" borderId="0" xfId="0" applyFont="1" applyBorder="1" applyAlignment="1">
      <alignment horizontal="center"/>
    </xf>
    <xf numFmtId="3" fontId="22" fillId="7" borderId="0" xfId="0" applyNumberFormat="1" applyFont="1" applyFill="1" applyBorder="1" applyAlignment="1">
      <alignment horizontal="center"/>
    </xf>
    <xf numFmtId="164" fontId="22" fillId="7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22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G49" sqref="G49"/>
    </sheetView>
  </sheetViews>
  <sheetFormatPr defaultColWidth="9.140625" defaultRowHeight="12.75"/>
  <cols>
    <col min="1" max="1" width="7.00390625" style="4" customWidth="1"/>
    <col min="2" max="2" width="8.57421875" style="44" customWidth="1"/>
    <col min="3" max="11" width="8.57421875" style="45" customWidth="1"/>
    <col min="12" max="16384" width="9.140625" style="4" customWidth="1"/>
  </cols>
  <sheetData>
    <row r="1" spans="1:11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146" t="s">
        <v>1</v>
      </c>
      <c r="B2" s="122" t="s">
        <v>2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2.75" customHeight="1">
      <c r="A3" s="146"/>
      <c r="B3" s="128" t="s">
        <v>3</v>
      </c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1.25">
      <c r="A4" s="147"/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1:11" ht="12.75">
      <c r="A5" s="7"/>
      <c r="B5" s="125" t="s">
        <v>14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1.25">
      <c r="A6" s="8">
        <v>2.5</v>
      </c>
      <c r="B6" s="9">
        <f aca="true" t="shared" si="0" ref="B6:K15">B$47*($A6*10^3)^B$48</f>
        <v>0.6365347173312174</v>
      </c>
      <c r="C6" s="10">
        <f t="shared" si="0"/>
        <v>0.6185970419990314</v>
      </c>
      <c r="D6" s="10">
        <f t="shared" si="0"/>
        <v>0.6095316877767541</v>
      </c>
      <c r="E6" s="10">
        <f t="shared" si="0"/>
        <v>0.6813408430533303</v>
      </c>
      <c r="F6" s="10">
        <f t="shared" si="0"/>
        <v>0.6711627693717619</v>
      </c>
      <c r="G6" s="10">
        <f t="shared" si="0"/>
        <v>0.6065465834286143</v>
      </c>
      <c r="H6" s="10">
        <f t="shared" si="0"/>
        <v>0.6583055647841465</v>
      </c>
      <c r="I6" s="10">
        <f t="shared" si="0"/>
        <v>0.6495772114870672</v>
      </c>
      <c r="J6" s="10">
        <f t="shared" si="0"/>
        <v>0.6794471522514796</v>
      </c>
      <c r="K6" s="10">
        <f t="shared" si="0"/>
        <v>0.6984611445244479</v>
      </c>
    </row>
    <row r="7" spans="1:11" ht="11.25">
      <c r="A7" s="8">
        <f>A6+0.5</f>
        <v>3</v>
      </c>
      <c r="B7" s="9">
        <f t="shared" si="0"/>
        <v>0.5803964034218938</v>
      </c>
      <c r="C7" s="10">
        <f t="shared" si="0"/>
        <v>0.5623259545764093</v>
      </c>
      <c r="D7" s="10">
        <f t="shared" si="0"/>
        <v>0.555511474455228</v>
      </c>
      <c r="E7" s="10">
        <f t="shared" si="0"/>
        <v>0.6262775610795286</v>
      </c>
      <c r="F7" s="10">
        <f t="shared" si="0"/>
        <v>0.6142396590045712</v>
      </c>
      <c r="G7" s="10">
        <f t="shared" si="0"/>
        <v>0.5559748108722112</v>
      </c>
      <c r="H7" s="10">
        <f t="shared" si="0"/>
        <v>0.6053908122848314</v>
      </c>
      <c r="I7" s="10">
        <f t="shared" si="0"/>
        <v>0.5925694652589341</v>
      </c>
      <c r="J7" s="10">
        <f t="shared" si="0"/>
        <v>0.6142157447608605</v>
      </c>
      <c r="K7" s="10">
        <f t="shared" si="0"/>
        <v>0.6493482448150324</v>
      </c>
    </row>
    <row r="8" spans="1:11" ht="11.25">
      <c r="A8" s="8">
        <f>A7+0.5</f>
        <v>3.5</v>
      </c>
      <c r="B8" s="9">
        <f t="shared" si="0"/>
        <v>0.536812794429247</v>
      </c>
      <c r="C8" s="11">
        <f t="shared" si="0"/>
        <v>0.5187621284914817</v>
      </c>
      <c r="D8" s="11">
        <f t="shared" si="0"/>
        <v>0.5135906610616713</v>
      </c>
      <c r="E8" s="10">
        <f t="shared" si="0"/>
        <v>0.5832087691940382</v>
      </c>
      <c r="F8" s="10">
        <f t="shared" si="0"/>
        <v>0.5698952264220156</v>
      </c>
      <c r="G8" s="11">
        <f t="shared" si="0"/>
        <v>0.5165210482482798</v>
      </c>
      <c r="H8" s="10">
        <f t="shared" si="0"/>
        <v>0.5639843865831647</v>
      </c>
      <c r="I8" s="10">
        <f t="shared" si="0"/>
        <v>0.5482914532613298</v>
      </c>
      <c r="J8" s="10">
        <f t="shared" si="0"/>
        <v>0.5639741549598234</v>
      </c>
      <c r="K8" s="10">
        <f t="shared" si="0"/>
        <v>0.6105280892329914</v>
      </c>
    </row>
    <row r="9" spans="1:11" ht="11.25">
      <c r="A9" s="8">
        <f>A8+0.5</f>
        <v>4</v>
      </c>
      <c r="B9" s="12">
        <f t="shared" si="0"/>
        <v>0.5017134413691998</v>
      </c>
      <c r="C9" s="13">
        <f t="shared" si="0"/>
        <v>0.483763030305977</v>
      </c>
      <c r="D9" s="13">
        <f t="shared" si="0"/>
        <v>0.47984305902464164</v>
      </c>
      <c r="E9" s="10">
        <f t="shared" si="0"/>
        <v>0.5483024261458468</v>
      </c>
      <c r="F9" s="10">
        <f t="shared" si="0"/>
        <v>0.5340785474164796</v>
      </c>
      <c r="G9" s="13">
        <f t="shared" si="0"/>
        <v>0.48461501850014976</v>
      </c>
      <c r="H9" s="10">
        <f t="shared" si="0"/>
        <v>0.5304127832341692</v>
      </c>
      <c r="I9" s="11">
        <f t="shared" si="0"/>
        <v>0.5126195125156282</v>
      </c>
      <c r="J9" s="10">
        <f t="shared" si="0"/>
        <v>0.5237871748502221</v>
      </c>
      <c r="K9" s="10">
        <f t="shared" si="0"/>
        <v>0.578781538909354</v>
      </c>
    </row>
    <row r="10" spans="1:11" ht="11.25">
      <c r="A10" s="8">
        <f>A9+0.5</f>
        <v>4.5</v>
      </c>
      <c r="B10" s="14">
        <f t="shared" si="0"/>
        <v>0.47266353530658156</v>
      </c>
      <c r="C10" s="13">
        <f t="shared" si="0"/>
        <v>0.45485690458185385</v>
      </c>
      <c r="D10" s="13">
        <f t="shared" si="0"/>
        <v>0.45192106287520006</v>
      </c>
      <c r="E10" s="11">
        <f t="shared" si="0"/>
        <v>0.5192511555478636</v>
      </c>
      <c r="F10" s="11">
        <f t="shared" si="0"/>
        <v>0.5043591366603795</v>
      </c>
      <c r="G10" s="13">
        <f t="shared" si="0"/>
        <v>0.45811186449621283</v>
      </c>
      <c r="H10" s="11">
        <f t="shared" si="0"/>
        <v>0.502463226677341</v>
      </c>
      <c r="I10" s="13">
        <f t="shared" si="0"/>
        <v>0.48308604540161304</v>
      </c>
      <c r="J10" s="10">
        <f t="shared" si="0"/>
        <v>0.4907234635368068</v>
      </c>
      <c r="K10" s="10">
        <f t="shared" si="0"/>
        <v>0.5521521613066734</v>
      </c>
    </row>
    <row r="11" spans="1:11" ht="11.25">
      <c r="A11" s="8">
        <v>5</v>
      </c>
      <c r="B11" s="14">
        <f t="shared" si="0"/>
        <v>0.44810573867443243</v>
      </c>
      <c r="C11" s="13">
        <f t="shared" si="0"/>
        <v>0.4304661917750385</v>
      </c>
      <c r="D11" s="13">
        <f t="shared" si="0"/>
        <v>0.4283236161850065</v>
      </c>
      <c r="E11" s="13">
        <f t="shared" si="0"/>
        <v>0.49457067244797326</v>
      </c>
      <c r="F11" s="13">
        <f t="shared" si="0"/>
        <v>0.4791783375771545</v>
      </c>
      <c r="G11" s="13">
        <f t="shared" si="0"/>
        <v>0.43563457173371417</v>
      </c>
      <c r="H11" s="13">
        <f t="shared" si="0"/>
        <v>0.4787118082954932</v>
      </c>
      <c r="I11" s="13">
        <f t="shared" si="0"/>
        <v>0.4581122117044336</v>
      </c>
      <c r="J11" s="11">
        <f t="shared" si="0"/>
        <v>0.462919501881869</v>
      </c>
      <c r="K11" s="11">
        <f t="shared" si="0"/>
        <v>0.5293712558574452</v>
      </c>
    </row>
    <row r="12" spans="1:11" ht="11.25">
      <c r="A12" s="8">
        <f aca="true" t="shared" si="1" ref="A12:A25">A11+1</f>
        <v>6</v>
      </c>
      <c r="B12" s="14">
        <f t="shared" si="0"/>
        <v>0.4085856623339855</v>
      </c>
      <c r="C12" s="13">
        <f t="shared" si="0"/>
        <v>0.3913085510731385</v>
      </c>
      <c r="D12" s="13">
        <f t="shared" si="0"/>
        <v>0.3903631071893924</v>
      </c>
      <c r="E12" s="13">
        <f t="shared" si="0"/>
        <v>0.4546014196567625</v>
      </c>
      <c r="F12" s="13">
        <f t="shared" si="0"/>
        <v>0.4385379405822453</v>
      </c>
      <c r="G12" s="13">
        <f t="shared" si="0"/>
        <v>0.39931285617002216</v>
      </c>
      <c r="H12" s="13">
        <f t="shared" si="0"/>
        <v>0.44023284319246964</v>
      </c>
      <c r="I12" s="13">
        <f t="shared" si="0"/>
        <v>0.4179076844411262</v>
      </c>
      <c r="J12" s="13">
        <f t="shared" si="0"/>
        <v>0.41847617680125476</v>
      </c>
      <c r="K12" s="13">
        <f t="shared" si="0"/>
        <v>0.49214805797193445</v>
      </c>
    </row>
    <row r="13" spans="1:11" ht="11.25">
      <c r="A13" s="8">
        <f t="shared" si="1"/>
        <v>7</v>
      </c>
      <c r="B13" s="14">
        <f t="shared" si="0"/>
        <v>0.3779038082732502</v>
      </c>
      <c r="C13" s="13">
        <f t="shared" si="0"/>
        <v>0.3609935753446282</v>
      </c>
      <c r="D13" s="13">
        <f t="shared" si="0"/>
        <v>0.360904959653802</v>
      </c>
      <c r="E13" s="13">
        <f t="shared" si="0"/>
        <v>0.4233387093972781</v>
      </c>
      <c r="F13" s="13">
        <f t="shared" si="0"/>
        <v>0.40687812204731505</v>
      </c>
      <c r="G13" s="13">
        <f t="shared" si="0"/>
        <v>0.37097633024845994</v>
      </c>
      <c r="H13" s="13">
        <f t="shared" si="0"/>
        <v>0.4101225935104737</v>
      </c>
      <c r="I13" s="13">
        <f t="shared" si="0"/>
        <v>0.38668076076309077</v>
      </c>
      <c r="J13" s="13">
        <f t="shared" si="0"/>
        <v>0.38424568271885223</v>
      </c>
      <c r="K13" s="13">
        <f t="shared" si="0"/>
        <v>0.46272584218491564</v>
      </c>
    </row>
    <row r="14" spans="1:11" ht="11.25">
      <c r="A14" s="8">
        <f t="shared" si="1"/>
        <v>8</v>
      </c>
      <c r="B14" s="14">
        <f t="shared" si="0"/>
        <v>0.3531946744244159</v>
      </c>
      <c r="C14" s="13">
        <f t="shared" si="0"/>
        <v>0.336638579299402</v>
      </c>
      <c r="D14" s="13">
        <f t="shared" si="0"/>
        <v>0.337190204158814</v>
      </c>
      <c r="E14" s="13">
        <f t="shared" si="0"/>
        <v>0.39800094529571756</v>
      </c>
      <c r="F14" s="13">
        <f t="shared" si="0"/>
        <v>0.3813067145041457</v>
      </c>
      <c r="G14" s="13">
        <f t="shared" si="0"/>
        <v>0.3480607455517641</v>
      </c>
      <c r="H14" s="13">
        <f t="shared" si="0"/>
        <v>0.385709731450214</v>
      </c>
      <c r="I14" s="13">
        <f t="shared" si="0"/>
        <v>0.3615232407919204</v>
      </c>
      <c r="J14" s="13">
        <f t="shared" si="0"/>
        <v>0.35686557412199155</v>
      </c>
      <c r="K14" s="13">
        <f t="shared" si="0"/>
        <v>0.4386647883300046</v>
      </c>
    </row>
    <row r="15" spans="1:11" ht="11.25">
      <c r="A15" s="8">
        <f t="shared" si="1"/>
        <v>9</v>
      </c>
      <c r="B15" s="14">
        <f t="shared" si="0"/>
        <v>0.332744211534991</v>
      </c>
      <c r="C15" s="13">
        <f t="shared" si="0"/>
        <v>0.3165235302212118</v>
      </c>
      <c r="D15" s="13">
        <f t="shared" si="0"/>
        <v>0.31756915639105143</v>
      </c>
      <c r="E15" s="13">
        <f t="shared" si="0"/>
        <v>0.37691325243009577</v>
      </c>
      <c r="F15" s="13">
        <f t="shared" si="0"/>
        <v>0.3600884668751678</v>
      </c>
      <c r="G15" s="13">
        <f t="shared" si="0"/>
        <v>0.3290256203700614</v>
      </c>
      <c r="H15" s="13">
        <f t="shared" si="0"/>
        <v>0.365385153509325</v>
      </c>
      <c r="I15" s="13">
        <f t="shared" si="0"/>
        <v>0.3406948593468132</v>
      </c>
      <c r="J15" s="13">
        <f t="shared" si="0"/>
        <v>0.3343386760095287</v>
      </c>
      <c r="K15" s="13">
        <f t="shared" si="0"/>
        <v>0.4184820950266697</v>
      </c>
    </row>
    <row r="16" spans="1:11" ht="11.25">
      <c r="A16" s="8">
        <f t="shared" si="1"/>
        <v>10</v>
      </c>
      <c r="B16" s="14">
        <f aca="true" t="shared" si="2" ref="B16:K25">B$47*($A16*10^3)^B$48</f>
        <v>0.3154560899283586</v>
      </c>
      <c r="C16" s="13">
        <f t="shared" si="2"/>
        <v>0.2995506439256373</v>
      </c>
      <c r="D16" s="13">
        <f t="shared" si="2"/>
        <v>0.3009870099632868</v>
      </c>
      <c r="E16" s="13">
        <f t="shared" si="2"/>
        <v>0.35899822025860123</v>
      </c>
      <c r="F16" s="13">
        <f t="shared" si="2"/>
        <v>0.34211057239979564</v>
      </c>
      <c r="G16" s="13">
        <f t="shared" si="2"/>
        <v>0.3128819537930047</v>
      </c>
      <c r="H16" s="13">
        <f t="shared" si="2"/>
        <v>0.348113410641884</v>
      </c>
      <c r="I16" s="13">
        <f t="shared" si="2"/>
        <v>0.3230821445110171</v>
      </c>
      <c r="J16" s="13">
        <f t="shared" si="2"/>
        <v>0.3153953394498038</v>
      </c>
      <c r="K16" s="13">
        <f t="shared" si="2"/>
        <v>0.40121620039277656</v>
      </c>
    </row>
    <row r="17" spans="1:11" ht="11.25">
      <c r="A17" s="8">
        <f t="shared" si="1"/>
        <v>11</v>
      </c>
      <c r="B17" s="14">
        <f t="shared" si="2"/>
        <v>0.30059216760389135</v>
      </c>
      <c r="C17" s="13">
        <f t="shared" si="2"/>
        <v>0.2849822059667874</v>
      </c>
      <c r="D17" s="13">
        <f t="shared" si="2"/>
        <v>0.28673379048628256</v>
      </c>
      <c r="E17" s="13">
        <f t="shared" si="2"/>
        <v>0.34352677831523876</v>
      </c>
      <c r="F17" s="13">
        <f t="shared" si="2"/>
        <v>0.32662205832256785</v>
      </c>
      <c r="G17" s="13">
        <f t="shared" si="2"/>
        <v>0.2989616678840221</v>
      </c>
      <c r="H17" s="13">
        <f t="shared" si="2"/>
        <v>0.33319361941481845</v>
      </c>
      <c r="I17" s="13">
        <f t="shared" si="2"/>
        <v>0.3079351902838565</v>
      </c>
      <c r="J17" s="13">
        <f t="shared" si="2"/>
        <v>0.2991853204550927</v>
      </c>
      <c r="K17" s="13">
        <f t="shared" si="2"/>
        <v>0.3862117886324418</v>
      </c>
    </row>
    <row r="18" spans="1:11" ht="11.25">
      <c r="A18" s="8">
        <f t="shared" si="1"/>
        <v>12</v>
      </c>
      <c r="B18" s="14">
        <f t="shared" si="2"/>
        <v>0.2876348689975429</v>
      </c>
      <c r="C18" s="13">
        <f t="shared" si="2"/>
        <v>0.2723018222737086</v>
      </c>
      <c r="D18" s="13">
        <f t="shared" si="2"/>
        <v>0.2743118053573861</v>
      </c>
      <c r="E18" s="13">
        <f t="shared" si="2"/>
        <v>0.3299853988025932</v>
      </c>
      <c r="F18" s="13">
        <f t="shared" si="2"/>
        <v>0.31309525933538845</v>
      </c>
      <c r="G18" s="13">
        <f t="shared" si="2"/>
        <v>0.28679493024605734</v>
      </c>
      <c r="H18" s="13">
        <f t="shared" si="2"/>
        <v>0.3201319747385624</v>
      </c>
      <c r="I18" s="13">
        <f t="shared" si="2"/>
        <v>0.2947280326680838</v>
      </c>
      <c r="J18" s="13">
        <f t="shared" si="2"/>
        <v>0.2851153068672592</v>
      </c>
      <c r="K18" s="13">
        <f t="shared" si="2"/>
        <v>0.3730043361163474</v>
      </c>
    </row>
    <row r="19" spans="1:11" ht="11.25">
      <c r="A19" s="8">
        <f t="shared" si="1"/>
        <v>13</v>
      </c>
      <c r="B19" s="14">
        <f t="shared" si="2"/>
        <v>0.27620911244557034</v>
      </c>
      <c r="C19" s="13">
        <f t="shared" si="2"/>
        <v>0.2611358451515151</v>
      </c>
      <c r="D19" s="13">
        <f t="shared" si="2"/>
        <v>0.2633604686355288</v>
      </c>
      <c r="E19" s="13">
        <f t="shared" si="2"/>
        <v>0.318000408681781</v>
      </c>
      <c r="F19" s="13">
        <f t="shared" si="2"/>
        <v>0.30114706304050454</v>
      </c>
      <c r="G19" s="13">
        <f t="shared" si="2"/>
        <v>0.27604034668889715</v>
      </c>
      <c r="H19" s="13">
        <f t="shared" si="2"/>
        <v>0.30856906855209115</v>
      </c>
      <c r="I19" s="13">
        <f t="shared" si="2"/>
        <v>0.2830794192944562</v>
      </c>
      <c r="J19" s="13">
        <f t="shared" si="2"/>
        <v>0.2727572051311476</v>
      </c>
      <c r="K19" s="13">
        <f t="shared" si="2"/>
        <v>0.36125387490668487</v>
      </c>
    </row>
    <row r="20" spans="1:11" ht="11.25">
      <c r="A20" s="8">
        <f t="shared" si="1"/>
        <v>14</v>
      </c>
      <c r="B20" s="14">
        <f t="shared" si="2"/>
        <v>0.2660355524112762</v>
      </c>
      <c r="C20" s="15">
        <f t="shared" si="2"/>
        <v>0.25120638975525666</v>
      </c>
      <c r="D20" s="15">
        <f t="shared" si="2"/>
        <v>0.2536112896474024</v>
      </c>
      <c r="E20" s="13">
        <f t="shared" si="2"/>
        <v>0.3072924694219174</v>
      </c>
      <c r="F20" s="13">
        <f t="shared" si="2"/>
        <v>0.29049165272031546</v>
      </c>
      <c r="G20" s="15">
        <f t="shared" si="2"/>
        <v>0.2664430386164281</v>
      </c>
      <c r="H20" s="13">
        <f t="shared" si="2"/>
        <v>0.2982361670094825</v>
      </c>
      <c r="I20" s="15">
        <f t="shared" si="2"/>
        <v>0.2727053464994583</v>
      </c>
      <c r="J20" s="13">
        <f t="shared" si="2"/>
        <v>0.2617934587775478</v>
      </c>
      <c r="K20" s="13">
        <f t="shared" si="2"/>
        <v>0.35070492054629804</v>
      </c>
    </row>
    <row r="21" spans="1:11" ht="11.25">
      <c r="A21" s="8">
        <f t="shared" si="1"/>
        <v>15</v>
      </c>
      <c r="B21" s="16">
        <f t="shared" si="2"/>
        <v>0.2569013002500359</v>
      </c>
      <c r="C21" s="17">
        <f t="shared" si="2"/>
        <v>0.24230195592546203</v>
      </c>
      <c r="D21" s="17">
        <f t="shared" si="2"/>
        <v>0.24485969365012633</v>
      </c>
      <c r="E21" s="13">
        <f t="shared" si="2"/>
        <v>0.29764796360831725</v>
      </c>
      <c r="F21" s="13">
        <f t="shared" si="2"/>
        <v>0.2809108633877144</v>
      </c>
      <c r="G21" s="17">
        <f t="shared" si="2"/>
        <v>0.25780832587445496</v>
      </c>
      <c r="H21" s="13">
        <f t="shared" si="2"/>
        <v>0.28892772075714923</v>
      </c>
      <c r="I21" s="17">
        <f t="shared" si="2"/>
        <v>0.263389331854113</v>
      </c>
      <c r="J21" s="13">
        <f t="shared" si="2"/>
        <v>0.25198294683643097</v>
      </c>
      <c r="K21" s="13">
        <f t="shared" si="2"/>
        <v>0.3411611472996694</v>
      </c>
    </row>
    <row r="22" spans="1:11" ht="11.25">
      <c r="A22" s="8">
        <f t="shared" si="1"/>
        <v>16</v>
      </c>
      <c r="B22" s="18">
        <f t="shared" si="2"/>
        <v>0.24864089289960017</v>
      </c>
      <c r="C22" s="17">
        <f t="shared" si="2"/>
        <v>0.2342583578597195</v>
      </c>
      <c r="D22" s="17">
        <f t="shared" si="2"/>
        <v>0.23694670922565939</v>
      </c>
      <c r="E22" s="13">
        <f t="shared" si="2"/>
        <v>0.28890033109966523</v>
      </c>
      <c r="F22" s="13">
        <f t="shared" si="2"/>
        <v>0.2722348823581674</v>
      </c>
      <c r="G22" s="17">
        <f t="shared" si="2"/>
        <v>0.24998458151171066</v>
      </c>
      <c r="H22" s="13">
        <f t="shared" si="2"/>
        <v>0.2804834303356444</v>
      </c>
      <c r="I22" s="17">
        <f t="shared" si="2"/>
        <v>0.25496308751748564</v>
      </c>
      <c r="J22" s="13">
        <f t="shared" si="2"/>
        <v>0.2431389008901096</v>
      </c>
      <c r="K22" s="13">
        <f t="shared" si="2"/>
        <v>0.3324687875898971</v>
      </c>
    </row>
    <row r="23" spans="1:11" ht="11.25">
      <c r="A23" s="8">
        <f t="shared" si="1"/>
        <v>17</v>
      </c>
      <c r="B23" s="19">
        <f t="shared" si="2"/>
        <v>0.24112352398031964</v>
      </c>
      <c r="C23" s="17">
        <f t="shared" si="2"/>
        <v>0.2269459446979519</v>
      </c>
      <c r="D23" s="17">
        <f t="shared" si="2"/>
        <v>0.2297466839325966</v>
      </c>
      <c r="E23" s="13">
        <f t="shared" si="2"/>
        <v>0.28091750601659893</v>
      </c>
      <c r="F23" s="13">
        <f t="shared" si="2"/>
        <v>0.26432928116380944</v>
      </c>
      <c r="G23" s="17">
        <f t="shared" si="2"/>
        <v>0.24285170391396416</v>
      </c>
      <c r="H23" s="13">
        <f t="shared" si="2"/>
        <v>0.27277617173555835</v>
      </c>
      <c r="I23" s="17">
        <f t="shared" si="2"/>
        <v>0.2472935507099437</v>
      </c>
      <c r="J23" s="13">
        <f t="shared" si="2"/>
        <v>0.23511413991572483</v>
      </c>
      <c r="K23" s="13">
        <f t="shared" si="2"/>
        <v>0.3245054066599449</v>
      </c>
    </row>
    <row r="24" spans="1:11" ht="11.25">
      <c r="A24" s="8">
        <f t="shared" si="1"/>
        <v>18</v>
      </c>
      <c r="B24" s="19">
        <f t="shared" si="2"/>
        <v>0.23424423937892302</v>
      </c>
      <c r="C24" s="17">
        <f t="shared" si="2"/>
        <v>0.22026079888970732</v>
      </c>
      <c r="D24" s="17">
        <f t="shared" si="2"/>
        <v>0.22315881550042796</v>
      </c>
      <c r="E24" s="13">
        <f t="shared" si="2"/>
        <v>0.2735932281316567</v>
      </c>
      <c r="F24" s="15">
        <f t="shared" si="2"/>
        <v>0.25708606140275125</v>
      </c>
      <c r="G24" s="17">
        <f t="shared" si="2"/>
        <v>0.23631315241956302</v>
      </c>
      <c r="H24" s="13">
        <f t="shared" si="2"/>
        <v>0.26570364420074205</v>
      </c>
      <c r="I24" s="17">
        <f t="shared" si="2"/>
        <v>0.24027393937419123</v>
      </c>
      <c r="J24" s="13">
        <f t="shared" si="2"/>
        <v>0.22779092214207997</v>
      </c>
      <c r="K24" s="13">
        <f t="shared" si="2"/>
        <v>0.3171721060431427</v>
      </c>
    </row>
    <row r="25" spans="1:11" ht="11.25">
      <c r="A25" s="8">
        <f t="shared" si="1"/>
        <v>19</v>
      </c>
      <c r="B25" s="19">
        <f t="shared" si="2"/>
        <v>0.22791772035776964</v>
      </c>
      <c r="C25" s="17">
        <f t="shared" si="2"/>
        <v>0.214118527884864</v>
      </c>
      <c r="D25" s="17">
        <f t="shared" si="2"/>
        <v>0.2171011729083824</v>
      </c>
      <c r="E25" s="13">
        <f t="shared" si="2"/>
        <v>0.2668408904329202</v>
      </c>
      <c r="F25" s="17">
        <f t="shared" si="2"/>
        <v>0.2504173239285507</v>
      </c>
      <c r="G25" s="17">
        <f t="shared" si="2"/>
        <v>0.23029031320952853</v>
      </c>
      <c r="H25" s="13">
        <f t="shared" si="2"/>
        <v>0.2591824550267883</v>
      </c>
      <c r="I25" s="17">
        <f t="shared" si="2"/>
        <v>0.23381743543625574</v>
      </c>
      <c r="J25" s="13">
        <f t="shared" si="2"/>
        <v>0.22107380087906772</v>
      </c>
      <c r="K25" s="13">
        <f t="shared" si="2"/>
        <v>0.3103879808387158</v>
      </c>
    </row>
    <row r="26" spans="1:11" ht="11.25">
      <c r="A26" s="8">
        <f>A21+5</f>
        <v>20</v>
      </c>
      <c r="B26" s="19">
        <f aca="true" t="shared" si="3" ref="B26:K35">B$47*($A26*10^3)^B$48</f>
        <v>0.22207380107932223</v>
      </c>
      <c r="C26" s="17">
        <f t="shared" si="3"/>
        <v>0.208449792319944</v>
      </c>
      <c r="D26" s="17">
        <f t="shared" si="3"/>
        <v>0.21150638616085496</v>
      </c>
      <c r="E26" s="15">
        <f t="shared" si="3"/>
        <v>0.2605890913646943</v>
      </c>
      <c r="F26" s="17">
        <f t="shared" si="3"/>
        <v>0.24425069868453933</v>
      </c>
      <c r="G26" s="17">
        <f t="shared" si="3"/>
        <v>0.22471842998991223</v>
      </c>
      <c r="H26" s="15">
        <f t="shared" si="3"/>
        <v>0.2531438426392918</v>
      </c>
      <c r="I26" s="17">
        <f t="shared" si="3"/>
        <v>0.2278526296286187</v>
      </c>
      <c r="J26" s="13">
        <f t="shared" si="3"/>
        <v>0.21488448799904233</v>
      </c>
      <c r="K26" s="13">
        <f t="shared" si="3"/>
        <v>0.30408609775549583</v>
      </c>
    </row>
    <row r="27" spans="1:11" ht="11.25">
      <c r="A27" s="8">
        <f>A26+5</f>
        <v>25</v>
      </c>
      <c r="B27" s="19">
        <f t="shared" si="3"/>
        <v>0.1983453829766135</v>
      </c>
      <c r="C27" s="17">
        <f t="shared" si="3"/>
        <v>0.18548459194889286</v>
      </c>
      <c r="D27" s="17">
        <f t="shared" si="3"/>
        <v>0.1887975213203772</v>
      </c>
      <c r="E27" s="17">
        <f t="shared" si="3"/>
        <v>0.23505225584130746</v>
      </c>
      <c r="F27" s="17">
        <f t="shared" si="3"/>
        <v>0.21914312850399398</v>
      </c>
      <c r="G27" s="17">
        <f t="shared" si="3"/>
        <v>0.20200594961399812</v>
      </c>
      <c r="H27" s="17">
        <f t="shared" si="3"/>
        <v>0.22846912913715486</v>
      </c>
      <c r="I27" s="17">
        <f t="shared" si="3"/>
        <v>0.20362485148018142</v>
      </c>
      <c r="J27" s="13">
        <f t="shared" si="3"/>
        <v>0.1899134322544304</v>
      </c>
      <c r="K27" s="13">
        <f t="shared" si="3"/>
        <v>0.27812642359145423</v>
      </c>
    </row>
    <row r="28" spans="1:11" ht="11.25">
      <c r="A28" s="8">
        <f>A27+5</f>
        <v>30</v>
      </c>
      <c r="B28" s="19">
        <f t="shared" si="3"/>
        <v>0.18085258161192017</v>
      </c>
      <c r="C28" s="17">
        <f t="shared" si="3"/>
        <v>0.16861186385537272</v>
      </c>
      <c r="D28" s="17">
        <f t="shared" si="3"/>
        <v>0.17206519619138808</v>
      </c>
      <c r="E28" s="17">
        <f t="shared" si="3"/>
        <v>0.21605625879529577</v>
      </c>
      <c r="F28" s="17">
        <f t="shared" si="3"/>
        <v>0.200557013392572</v>
      </c>
      <c r="G28" s="17">
        <f t="shared" si="3"/>
        <v>0.18516338678696398</v>
      </c>
      <c r="H28" s="17">
        <f t="shared" si="3"/>
        <v>0.21010472806150754</v>
      </c>
      <c r="I28" s="17">
        <f t="shared" si="3"/>
        <v>0.18575446801591386</v>
      </c>
      <c r="J28" s="15">
        <f t="shared" si="3"/>
        <v>0.17168049030113833</v>
      </c>
      <c r="K28" s="15">
        <f t="shared" si="3"/>
        <v>0.2585697234722433</v>
      </c>
    </row>
    <row r="29" spans="1:11" ht="11.25">
      <c r="A29" s="8">
        <f>A28+5</f>
        <v>35</v>
      </c>
      <c r="B29" s="19">
        <f t="shared" si="3"/>
        <v>0.16727184927827243</v>
      </c>
      <c r="C29" s="17">
        <f t="shared" si="3"/>
        <v>0.1555493725137022</v>
      </c>
      <c r="D29" s="17">
        <f t="shared" si="3"/>
        <v>0.15908056254698227</v>
      </c>
      <c r="E29" s="17">
        <f t="shared" si="3"/>
        <v>0.20119817888968264</v>
      </c>
      <c r="F29" s="17">
        <f t="shared" si="3"/>
        <v>0.18607799558743968</v>
      </c>
      <c r="G29" s="17">
        <f t="shared" si="3"/>
        <v>0.17202359669921646</v>
      </c>
      <c r="H29" s="17">
        <f t="shared" si="3"/>
        <v>0.1957343649249846</v>
      </c>
      <c r="I29" s="17">
        <f t="shared" si="3"/>
        <v>0.1718745112418618</v>
      </c>
      <c r="J29" s="17">
        <f t="shared" si="3"/>
        <v>0.15763737785388418</v>
      </c>
      <c r="K29" s="17">
        <f t="shared" si="3"/>
        <v>0.24311158221422388</v>
      </c>
    </row>
    <row r="30" spans="1:11" ht="11.25">
      <c r="A30" s="8">
        <f>A29+5</f>
        <v>40</v>
      </c>
      <c r="B30" s="19">
        <f t="shared" si="3"/>
        <v>0.15633482662204565</v>
      </c>
      <c r="C30" s="17">
        <f t="shared" si="3"/>
        <v>0.1450549908649653</v>
      </c>
      <c r="D30" s="17">
        <f t="shared" si="3"/>
        <v>0.1486275151618046</v>
      </c>
      <c r="E30" s="17">
        <f t="shared" si="3"/>
        <v>0.18915602001971205</v>
      </c>
      <c r="F30" s="17">
        <f t="shared" si="3"/>
        <v>0.17438339712625947</v>
      </c>
      <c r="G30" s="17">
        <f t="shared" si="3"/>
        <v>0.1613975244175941</v>
      </c>
      <c r="H30" s="17">
        <f t="shared" si="3"/>
        <v>0.18408312666847979</v>
      </c>
      <c r="I30" s="17">
        <f t="shared" si="3"/>
        <v>0.1606923245704349</v>
      </c>
      <c r="J30" s="17">
        <f t="shared" si="3"/>
        <v>0.14640464650860655</v>
      </c>
      <c r="K30" s="17">
        <f t="shared" si="3"/>
        <v>0.23047014242605768</v>
      </c>
    </row>
    <row r="31" spans="1:11" ht="11.25">
      <c r="A31" s="8">
        <f aca="true" t="shared" si="4" ref="A31:A36">A30+10</f>
        <v>50</v>
      </c>
      <c r="B31" s="19">
        <f t="shared" si="3"/>
        <v>0.1396305683436125</v>
      </c>
      <c r="C31" s="17">
        <f t="shared" si="3"/>
        <v>0.12907408297841808</v>
      </c>
      <c r="D31" s="17">
        <f t="shared" si="3"/>
        <v>0.13266978350816744</v>
      </c>
      <c r="E31" s="17">
        <f t="shared" si="3"/>
        <v>0.17061938003142632</v>
      </c>
      <c r="F31" s="17">
        <f t="shared" si="3"/>
        <v>0.15645778460907978</v>
      </c>
      <c r="G31" s="17">
        <f t="shared" si="3"/>
        <v>0.14508494112738388</v>
      </c>
      <c r="H31" s="17">
        <f t="shared" si="3"/>
        <v>0.16613997480760453</v>
      </c>
      <c r="I31" s="17">
        <f t="shared" si="3"/>
        <v>0.14360576297930983</v>
      </c>
      <c r="J31" s="17">
        <f t="shared" si="3"/>
        <v>0.1293914194335423</v>
      </c>
      <c r="K31" s="17">
        <f t="shared" si="3"/>
        <v>0.21079502460225183</v>
      </c>
    </row>
    <row r="32" spans="1:11" ht="11.25">
      <c r="A32" s="8">
        <f t="shared" si="4"/>
        <v>60</v>
      </c>
      <c r="B32" s="19">
        <f t="shared" si="3"/>
        <v>0.1273160402219166</v>
      </c>
      <c r="C32" s="17">
        <f t="shared" si="3"/>
        <v>0.11733277399348961</v>
      </c>
      <c r="D32" s="17">
        <f t="shared" si="3"/>
        <v>0.1209118221910574</v>
      </c>
      <c r="E32" s="17">
        <f t="shared" si="3"/>
        <v>0.15683059409755512</v>
      </c>
      <c r="F32" s="17">
        <f t="shared" si="3"/>
        <v>0.14318818124677576</v>
      </c>
      <c r="G32" s="17">
        <f t="shared" si="3"/>
        <v>0.1329882566442592</v>
      </c>
      <c r="H32" s="17">
        <f t="shared" si="3"/>
        <v>0.1527856054729485</v>
      </c>
      <c r="I32" s="17">
        <f t="shared" si="3"/>
        <v>0.13100273327314077</v>
      </c>
      <c r="J32" s="17">
        <f t="shared" si="3"/>
        <v>0.11696898984664927</v>
      </c>
      <c r="K32" s="17">
        <f t="shared" si="3"/>
        <v>0.19597279006036777</v>
      </c>
    </row>
    <row r="33" spans="1:11" ht="11.25">
      <c r="A33" s="8">
        <f t="shared" si="4"/>
        <v>70</v>
      </c>
      <c r="B33" s="19">
        <f t="shared" si="3"/>
        <v>0.11775551833927063</v>
      </c>
      <c r="C33" s="17">
        <f t="shared" si="3"/>
        <v>0.10824291335533923</v>
      </c>
      <c r="D33" s="17">
        <f t="shared" si="3"/>
        <v>0.11178739872146676</v>
      </c>
      <c r="E33" s="17">
        <f t="shared" si="3"/>
        <v>0.14604543327074448</v>
      </c>
      <c r="F33" s="17">
        <f t="shared" si="3"/>
        <v>0.13285085027696114</v>
      </c>
      <c r="G33" s="17">
        <f t="shared" si="3"/>
        <v>0.12355098177710883</v>
      </c>
      <c r="H33" s="17">
        <f t="shared" si="3"/>
        <v>0.14233565200004497</v>
      </c>
      <c r="I33" s="17">
        <f t="shared" si="3"/>
        <v>0.12121393898713702</v>
      </c>
      <c r="J33" s="17">
        <f t="shared" si="3"/>
        <v>0.10740116606902034</v>
      </c>
      <c r="K33" s="17">
        <f t="shared" si="3"/>
        <v>0.18425689760861078</v>
      </c>
    </row>
    <row r="34" spans="1:11" ht="11.25">
      <c r="A34" s="8">
        <f t="shared" si="4"/>
        <v>80</v>
      </c>
      <c r="B34" s="19">
        <f t="shared" si="3"/>
        <v>0.11005610700658548</v>
      </c>
      <c r="C34" s="17">
        <f t="shared" si="3"/>
        <v>0.10094013594669334</v>
      </c>
      <c r="D34" s="17">
        <f t="shared" si="3"/>
        <v>0.10444194458682896</v>
      </c>
      <c r="E34" s="17">
        <f t="shared" si="3"/>
        <v>0.13730428899505862</v>
      </c>
      <c r="F34" s="17">
        <f t="shared" si="3"/>
        <v>0.12450146246078926</v>
      </c>
      <c r="G34" s="17">
        <f t="shared" si="3"/>
        <v>0.1159191121498012</v>
      </c>
      <c r="H34" s="17">
        <f t="shared" si="3"/>
        <v>0.13386301310251142</v>
      </c>
      <c r="I34" s="17">
        <f t="shared" si="3"/>
        <v>0.11332773827512008</v>
      </c>
      <c r="J34" s="17">
        <f t="shared" si="3"/>
        <v>0.09974810522109702</v>
      </c>
      <c r="K34" s="17">
        <f t="shared" si="3"/>
        <v>0.1746758136657608</v>
      </c>
    </row>
    <row r="35" spans="1:11" ht="11.25">
      <c r="A35" s="8">
        <f t="shared" si="4"/>
        <v>90</v>
      </c>
      <c r="B35" s="19">
        <f t="shared" si="3"/>
        <v>0.10368370533954288</v>
      </c>
      <c r="C35" s="17">
        <f t="shared" si="3"/>
        <v>0.09490869477095959</v>
      </c>
      <c r="D35" s="20">
        <f t="shared" si="3"/>
        <v>0.09836448338415713</v>
      </c>
      <c r="E35" s="17">
        <f t="shared" si="3"/>
        <v>0.13002935482798247</v>
      </c>
      <c r="F35" s="17">
        <f t="shared" si="3"/>
        <v>0.11757343638577451</v>
      </c>
      <c r="G35" s="17">
        <f t="shared" si="3"/>
        <v>0.10957960147839427</v>
      </c>
      <c r="H35" s="17">
        <f t="shared" si="3"/>
        <v>0.12680923918559522</v>
      </c>
      <c r="I35" s="17">
        <f t="shared" si="3"/>
        <v>0.10679860516618106</v>
      </c>
      <c r="J35" s="17">
        <f t="shared" si="3"/>
        <v>0.09345157351232877</v>
      </c>
      <c r="K35" s="17">
        <f t="shared" si="3"/>
        <v>0.16663908842928174</v>
      </c>
    </row>
    <row r="36" spans="1:11" ht="11.25">
      <c r="A36" s="8">
        <f t="shared" si="4"/>
        <v>100</v>
      </c>
      <c r="B36" s="19">
        <f aca="true" t="shared" si="5" ref="B36:K42">B$47*($A36*10^3)^B$48</f>
        <v>0.09829669500428483</v>
      </c>
      <c r="C36" s="17">
        <f t="shared" si="5"/>
        <v>0.08981942231250103</v>
      </c>
      <c r="D36" s="20">
        <f t="shared" si="5"/>
        <v>0.0932282973473778</v>
      </c>
      <c r="E36" s="17">
        <f t="shared" si="5"/>
        <v>0.12384894047544118</v>
      </c>
      <c r="F36" s="17">
        <f t="shared" si="5"/>
        <v>0.11170342657737067</v>
      </c>
      <c r="G36" s="17">
        <f t="shared" si="5"/>
        <v>0.10420307016777984</v>
      </c>
      <c r="H36" s="17">
        <f t="shared" si="5"/>
        <v>0.12081497107865768</v>
      </c>
      <c r="I36" s="17">
        <f t="shared" si="5"/>
        <v>0.10127749639084158</v>
      </c>
      <c r="J36" s="17">
        <f t="shared" si="5"/>
        <v>0.08815668920456943</v>
      </c>
      <c r="K36" s="17">
        <f t="shared" si="5"/>
        <v>0.15976382906478095</v>
      </c>
    </row>
    <row r="37" spans="1:11" ht="11.25">
      <c r="A37" s="8">
        <f aca="true" t="shared" si="6" ref="A37:A42">A36+25</f>
        <v>125</v>
      </c>
      <c r="B37" s="19">
        <f t="shared" si="5"/>
        <v>0.08779376730259264</v>
      </c>
      <c r="C37" s="17">
        <f t="shared" si="5"/>
        <v>0.07992389299744843</v>
      </c>
      <c r="D37" s="20">
        <f t="shared" si="5"/>
        <v>0.08321862888205148</v>
      </c>
      <c r="E37" s="17">
        <f t="shared" si="5"/>
        <v>0.1117121698757815</v>
      </c>
      <c r="F37" s="17">
        <f t="shared" si="5"/>
        <v>0.10022095534063145</v>
      </c>
      <c r="G37" s="17">
        <f t="shared" si="5"/>
        <v>0.09367117838479647</v>
      </c>
      <c r="H37" s="17">
        <f t="shared" si="5"/>
        <v>0.10903876207805961</v>
      </c>
      <c r="I37" s="17">
        <f t="shared" si="5"/>
        <v>0.09050856772854854</v>
      </c>
      <c r="J37" s="17">
        <f t="shared" si="5"/>
        <v>0.07791227546914181</v>
      </c>
      <c r="K37" s="17">
        <f t="shared" si="5"/>
        <v>0.14612487293908497</v>
      </c>
    </row>
    <row r="38" spans="1:11" ht="11.25">
      <c r="A38" s="8">
        <f t="shared" si="6"/>
        <v>150</v>
      </c>
      <c r="B38" s="19">
        <f t="shared" si="5"/>
        <v>0.08005091536707047</v>
      </c>
      <c r="C38" s="17">
        <f t="shared" si="5"/>
        <v>0.07265356342153884</v>
      </c>
      <c r="D38" s="20">
        <f t="shared" si="5"/>
        <v>0.07584331407121611</v>
      </c>
      <c r="E38" s="17">
        <f t="shared" si="5"/>
        <v>0.10268403253088149</v>
      </c>
      <c r="F38" s="17">
        <f t="shared" si="5"/>
        <v>0.09172094794704481</v>
      </c>
      <c r="G38" s="17">
        <f t="shared" si="5"/>
        <v>0.08586119699542193</v>
      </c>
      <c r="H38" s="17">
        <f t="shared" si="5"/>
        <v>0.10027420133781419</v>
      </c>
      <c r="I38" s="17">
        <f t="shared" si="5"/>
        <v>0.08256541736967293</v>
      </c>
      <c r="J38" s="17">
        <f t="shared" si="5"/>
        <v>0.07043218320176285</v>
      </c>
      <c r="K38" s="17">
        <f t="shared" si="5"/>
        <v>0.1358499760661965</v>
      </c>
    </row>
    <row r="39" spans="1:11" ht="11.25">
      <c r="A39" s="8">
        <f t="shared" si="6"/>
        <v>175</v>
      </c>
      <c r="B39" s="19">
        <f t="shared" si="5"/>
        <v>0.07403966551388041</v>
      </c>
      <c r="C39" s="17">
        <f t="shared" si="5"/>
        <v>0.06702503574006205</v>
      </c>
      <c r="D39" s="20">
        <f t="shared" si="5"/>
        <v>0.07011991579317638</v>
      </c>
      <c r="E39" s="17">
        <f t="shared" si="5"/>
        <v>0.0956225034232246</v>
      </c>
      <c r="F39" s="17">
        <f t="shared" si="5"/>
        <v>0.08509924364479036</v>
      </c>
      <c r="G39" s="17">
        <f t="shared" si="5"/>
        <v>0.07976821001360236</v>
      </c>
      <c r="H39" s="17">
        <f t="shared" si="5"/>
        <v>0.09341582789831984</v>
      </c>
      <c r="I39" s="17">
        <f t="shared" si="5"/>
        <v>0.07639595917917359</v>
      </c>
      <c r="J39" s="17">
        <f t="shared" si="5"/>
        <v>0.06467097488465559</v>
      </c>
      <c r="K39" s="17">
        <f t="shared" si="5"/>
        <v>0.1277284214938752</v>
      </c>
    </row>
    <row r="40" spans="1:11" ht="11.25">
      <c r="A40" s="8">
        <f t="shared" si="6"/>
        <v>200</v>
      </c>
      <c r="B40" s="19">
        <f t="shared" si="5"/>
        <v>0.06919860288033691</v>
      </c>
      <c r="C40" s="17">
        <f t="shared" si="5"/>
        <v>0.06250308689700591</v>
      </c>
      <c r="D40" s="20">
        <f t="shared" si="5"/>
        <v>0.06551239624021862</v>
      </c>
      <c r="E40" s="17">
        <f t="shared" si="5"/>
        <v>0.08989928373942144</v>
      </c>
      <c r="F40" s="17">
        <f t="shared" si="5"/>
        <v>0.07975094074291228</v>
      </c>
      <c r="G40" s="17">
        <f t="shared" si="5"/>
        <v>0.074840846665525</v>
      </c>
      <c r="H40" s="17">
        <f t="shared" si="5"/>
        <v>0.08785517906596438</v>
      </c>
      <c r="I40" s="17">
        <f t="shared" si="5"/>
        <v>0.07142562430920499</v>
      </c>
      <c r="J40" s="17">
        <f t="shared" si="5"/>
        <v>0.06006272970444286</v>
      </c>
      <c r="K40" s="17">
        <f t="shared" si="5"/>
        <v>0.12108673402326542</v>
      </c>
    </row>
    <row r="41" spans="1:11" ht="11.25">
      <c r="A41" s="8">
        <f t="shared" si="6"/>
        <v>225</v>
      </c>
      <c r="B41" s="19">
        <f t="shared" si="5"/>
        <v>0.0651919075287987</v>
      </c>
      <c r="C41" s="20">
        <f t="shared" si="5"/>
        <v>0.058768361474007116</v>
      </c>
      <c r="D41" s="20">
        <f t="shared" si="5"/>
        <v>0.0617002396586932</v>
      </c>
      <c r="E41" s="17">
        <f t="shared" si="5"/>
        <v>0.0851360576548006</v>
      </c>
      <c r="F41" s="17">
        <f t="shared" si="5"/>
        <v>0.0753131085596328</v>
      </c>
      <c r="G41" s="17">
        <f t="shared" si="5"/>
        <v>0.07074786892187128</v>
      </c>
      <c r="H41" s="17">
        <f t="shared" si="5"/>
        <v>0.08322574068564842</v>
      </c>
      <c r="I41" s="17">
        <f t="shared" si="5"/>
        <v>0.0673105910825492</v>
      </c>
      <c r="J41" s="17">
        <f t="shared" si="5"/>
        <v>0.056271310496419515</v>
      </c>
      <c r="K41" s="17">
        <f t="shared" si="5"/>
        <v>0.11551560891610149</v>
      </c>
    </row>
    <row r="42" spans="1:11" ht="11.25">
      <c r="A42" s="8">
        <f t="shared" si="6"/>
        <v>250</v>
      </c>
      <c r="B42" s="21">
        <f t="shared" si="5"/>
        <v>0.061804784369159045</v>
      </c>
      <c r="C42" s="22">
        <f t="shared" si="5"/>
        <v>0.055617035832029024</v>
      </c>
      <c r="D42" s="22">
        <f t="shared" si="5"/>
        <v>0.05847850861819908</v>
      </c>
      <c r="E42" s="22">
        <f t="shared" si="5"/>
        <v>0.08108946284284758</v>
      </c>
      <c r="F42" s="22">
        <f t="shared" si="5"/>
        <v>0.07155300168909899</v>
      </c>
      <c r="G42" s="22">
        <f t="shared" si="5"/>
        <v>0.06727661946224744</v>
      </c>
      <c r="H42" s="22">
        <f t="shared" si="5"/>
        <v>0.07929166296172108</v>
      </c>
      <c r="I42" s="22">
        <f t="shared" si="5"/>
        <v>0.06383087246149717</v>
      </c>
      <c r="J42" s="22">
        <f t="shared" si="5"/>
        <v>0.05308302732764833</v>
      </c>
      <c r="K42" s="22">
        <f t="shared" si="5"/>
        <v>0.11074962165925531</v>
      </c>
    </row>
    <row r="43" spans="1:11" ht="22.5">
      <c r="A43" s="23" t="s">
        <v>15</v>
      </c>
      <c r="B43" s="127" t="s">
        <v>16</v>
      </c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11" ht="12.75">
      <c r="A44" s="24">
        <v>0.5</v>
      </c>
      <c r="B44" s="25">
        <f aca="true" t="shared" si="7" ref="B44:K45">EXP(LN($A44/B$47)/B$48)</f>
        <v>4027.1137908259375</v>
      </c>
      <c r="C44" s="26">
        <f t="shared" si="7"/>
        <v>3755.36022663431</v>
      </c>
      <c r="D44" s="26">
        <f t="shared" si="7"/>
        <v>3689.3545189642805</v>
      </c>
      <c r="E44" s="26">
        <f t="shared" si="7"/>
        <v>4883.274582707862</v>
      </c>
      <c r="F44" s="26">
        <f t="shared" si="7"/>
        <v>4581.0801463038015</v>
      </c>
      <c r="G44" s="26">
        <f t="shared" si="7"/>
        <v>3746.5762617594196</v>
      </c>
      <c r="H44" s="26">
        <f t="shared" si="7"/>
        <v>4548.375252907682</v>
      </c>
      <c r="I44" s="26">
        <f t="shared" si="7"/>
        <v>4202.879594408252</v>
      </c>
      <c r="J44" s="26">
        <f t="shared" si="7"/>
        <v>4350.318710448246</v>
      </c>
      <c r="K44" s="26">
        <f t="shared" si="7"/>
        <v>5767.151780225549</v>
      </c>
    </row>
    <row r="45" spans="1:11" ht="12.75">
      <c r="A45" s="27">
        <v>0.25</v>
      </c>
      <c r="B45" s="28">
        <f t="shared" si="7"/>
        <v>15828.688028947026</v>
      </c>
      <c r="C45" s="29">
        <f t="shared" si="7"/>
        <v>14129.433016747244</v>
      </c>
      <c r="D45" s="29">
        <f t="shared" si="7"/>
        <v>14400.080483804571</v>
      </c>
      <c r="E45" s="29">
        <f t="shared" si="7"/>
        <v>21878.083471366917</v>
      </c>
      <c r="F45" s="29">
        <f t="shared" si="7"/>
        <v>19065.304681362177</v>
      </c>
      <c r="G45" s="29">
        <f t="shared" si="7"/>
        <v>15997.933507950853</v>
      </c>
      <c r="H45" s="29">
        <f t="shared" si="7"/>
        <v>20551.2797983812</v>
      </c>
      <c r="I45" s="29">
        <f t="shared" si="7"/>
        <v>16636.646796534835</v>
      </c>
      <c r="J45" s="29">
        <f t="shared" si="7"/>
        <v>15215.601689939807</v>
      </c>
      <c r="K45" s="29">
        <f t="shared" si="7"/>
        <v>32638.076896728206</v>
      </c>
    </row>
    <row r="46" spans="2:11" ht="12.75">
      <c r="B46" s="123" t="s">
        <v>17</v>
      </c>
      <c r="C46" s="124"/>
      <c r="D46" s="124"/>
      <c r="E46" s="124"/>
      <c r="F46" s="124"/>
      <c r="G46" s="124"/>
      <c r="H46" s="124"/>
      <c r="I46" s="124"/>
      <c r="J46" s="124"/>
      <c r="K46" s="124"/>
    </row>
    <row r="47" spans="2:11" ht="12.75" hidden="1">
      <c r="B47" s="30">
        <v>33.461</v>
      </c>
      <c r="C47" s="31">
        <v>37.057</v>
      </c>
      <c r="D47" s="31">
        <v>32.7</v>
      </c>
      <c r="E47" s="31">
        <v>25.345</v>
      </c>
      <c r="F47" s="30">
        <v>30.1</v>
      </c>
      <c r="G47" s="31">
        <v>25.432</v>
      </c>
      <c r="H47" s="31">
        <v>23.995</v>
      </c>
      <c r="I47" s="31">
        <v>33.459</v>
      </c>
      <c r="J47" s="31">
        <v>51.672</v>
      </c>
      <c r="K47" s="31">
        <v>15.958</v>
      </c>
    </row>
    <row r="48" spans="2:11" ht="12.75" hidden="1">
      <c r="B48" s="30">
        <v>-0.5064</v>
      </c>
      <c r="C48" s="31">
        <v>-0.5231</v>
      </c>
      <c r="D48" s="31">
        <v>-0.509</v>
      </c>
      <c r="E48" s="31">
        <v>-0.4622</v>
      </c>
      <c r="F48" s="30">
        <v>-0.4861</v>
      </c>
      <c r="G48" s="31">
        <v>-0.4775</v>
      </c>
      <c r="H48" s="31">
        <v>-0.4596</v>
      </c>
      <c r="I48" s="31">
        <v>-0.5038</v>
      </c>
      <c r="J48" s="31">
        <v>-0.5536</v>
      </c>
      <c r="K48" s="31">
        <v>-0.3999</v>
      </c>
    </row>
    <row r="49" spans="1:11" ht="22.5" customHeight="1">
      <c r="A49" s="23" t="s">
        <v>18</v>
      </c>
      <c r="B49" s="32" t="s">
        <v>23</v>
      </c>
      <c r="C49" s="32" t="s">
        <v>24</v>
      </c>
      <c r="D49" s="33" t="s">
        <v>25</v>
      </c>
      <c r="E49" s="33" t="s">
        <v>26</v>
      </c>
      <c r="F49" s="34" t="s">
        <v>27</v>
      </c>
      <c r="G49" s="33" t="s">
        <v>28</v>
      </c>
      <c r="H49" s="33" t="s">
        <v>29</v>
      </c>
      <c r="I49" s="33" t="s">
        <v>30</v>
      </c>
      <c r="J49" s="33" t="s">
        <v>31</v>
      </c>
      <c r="K49" s="33" t="s">
        <v>32</v>
      </c>
    </row>
    <row r="50" spans="1:11" ht="12.75" customHeight="1">
      <c r="A50" s="35" t="s">
        <v>33</v>
      </c>
      <c r="B50" s="14">
        <v>0.9097</v>
      </c>
      <c r="C50" s="36">
        <v>0.9254</v>
      </c>
      <c r="D50" s="37">
        <v>0.9139</v>
      </c>
      <c r="E50" s="37">
        <v>0.8632</v>
      </c>
      <c r="F50" s="37">
        <v>0.8976</v>
      </c>
      <c r="G50" s="37">
        <v>0.8119</v>
      </c>
      <c r="H50" s="37">
        <v>0.853</v>
      </c>
      <c r="I50" s="37">
        <v>0.8397</v>
      </c>
      <c r="J50" s="37">
        <v>0.9334</v>
      </c>
      <c r="K50" s="37">
        <v>0.7667</v>
      </c>
    </row>
    <row r="51" spans="1:11" ht="12.75" customHeight="1">
      <c r="A51" s="38" t="s">
        <v>19</v>
      </c>
      <c r="B51" s="39">
        <v>953</v>
      </c>
      <c r="C51" s="40">
        <f>76-1</f>
        <v>75</v>
      </c>
      <c r="D51" s="40">
        <f>263-76</f>
        <v>187</v>
      </c>
      <c r="E51" s="40">
        <f>389-263</f>
        <v>126</v>
      </c>
      <c r="F51" s="40">
        <f>485-389</f>
        <v>96</v>
      </c>
      <c r="G51" s="40">
        <f>643-485</f>
        <v>158</v>
      </c>
      <c r="H51" s="40">
        <f>755-643</f>
        <v>112</v>
      </c>
      <c r="I51" s="40">
        <f>801-755</f>
        <v>46</v>
      </c>
      <c r="J51" s="40">
        <f>847-801</f>
        <v>46</v>
      </c>
      <c r="K51" s="40">
        <f>954-847</f>
        <v>107</v>
      </c>
    </row>
    <row r="52" spans="1:11" ht="12.75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2.7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ht="10.5">
      <c r="A54" s="43" t="s">
        <v>20</v>
      </c>
    </row>
    <row r="55" spans="2:11" ht="11.25">
      <c r="B55" s="5" t="s">
        <v>4</v>
      </c>
      <c r="C55" s="6" t="s">
        <v>5</v>
      </c>
      <c r="D55" s="6" t="s">
        <v>6</v>
      </c>
      <c r="E55" s="6" t="s">
        <v>7</v>
      </c>
      <c r="F55" s="6" t="s">
        <v>8</v>
      </c>
      <c r="G55" s="6" t="s">
        <v>9</v>
      </c>
      <c r="H55" s="6" t="s">
        <v>10</v>
      </c>
      <c r="I55" s="6" t="s">
        <v>11</v>
      </c>
      <c r="J55" s="6" t="s">
        <v>12</v>
      </c>
      <c r="K55" s="6" t="s">
        <v>13</v>
      </c>
    </row>
    <row r="56" spans="1:11" ht="13.5" thickBot="1">
      <c r="A56" s="46" t="s">
        <v>21</v>
      </c>
      <c r="B56" s="138" t="s">
        <v>14</v>
      </c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" thickBot="1">
      <c r="A57" s="47">
        <v>5000</v>
      </c>
      <c r="B57" s="48">
        <f aca="true" t="shared" si="8" ref="B57:K57">B$47*($A57)^B$48</f>
        <v>0.44810573867443243</v>
      </c>
      <c r="C57" s="49">
        <f t="shared" si="8"/>
        <v>0.4304661917750385</v>
      </c>
      <c r="D57" s="49">
        <f t="shared" si="8"/>
        <v>0.4283236161850065</v>
      </c>
      <c r="E57" s="49">
        <f t="shared" si="8"/>
        <v>0.49457067244797326</v>
      </c>
      <c r="F57" s="49">
        <f t="shared" si="8"/>
        <v>0.4791783375771545</v>
      </c>
      <c r="G57" s="49">
        <f t="shared" si="8"/>
        <v>0.43563457173371417</v>
      </c>
      <c r="H57" s="49">
        <f t="shared" si="8"/>
        <v>0.4787118082954932</v>
      </c>
      <c r="I57" s="49">
        <f t="shared" si="8"/>
        <v>0.4581122117044336</v>
      </c>
      <c r="J57" s="49">
        <f t="shared" si="8"/>
        <v>0.462919501881869</v>
      </c>
      <c r="K57" s="49">
        <f t="shared" si="8"/>
        <v>0.5293712558574452</v>
      </c>
    </row>
    <row r="59" ht="10.5">
      <c r="A59" s="4" t="s">
        <v>22</v>
      </c>
    </row>
  </sheetData>
  <mergeCells count="7">
    <mergeCell ref="B56:K56"/>
    <mergeCell ref="B2:K2"/>
    <mergeCell ref="A2:A4"/>
    <mergeCell ref="B3:K3"/>
    <mergeCell ref="B46:K46"/>
    <mergeCell ref="B5:K5"/>
    <mergeCell ref="B43:K43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E52" sqref="E52"/>
    </sheetView>
  </sheetViews>
  <sheetFormatPr defaultColWidth="9.140625" defaultRowHeight="12.75"/>
  <cols>
    <col min="1" max="1" width="7.421875" style="4" customWidth="1"/>
    <col min="2" max="2" width="8.57421875" style="44" customWidth="1"/>
    <col min="3" max="11" width="8.57421875" style="45" customWidth="1"/>
    <col min="12" max="16384" width="9.140625" style="4" customWidth="1"/>
  </cols>
  <sheetData>
    <row r="1" spans="1:11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s="79" customFormat="1" ht="15.75">
      <c r="A2" s="107"/>
      <c r="B2" s="122" t="s">
        <v>2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 customHeight="1">
      <c r="A3" s="139" t="s">
        <v>34</v>
      </c>
      <c r="B3" s="128" t="s">
        <v>95</v>
      </c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2.75" customHeight="1">
      <c r="A4" s="139"/>
      <c r="B4" s="130" t="s">
        <v>96</v>
      </c>
      <c r="C4" s="134" t="s">
        <v>97</v>
      </c>
      <c r="D4" s="135"/>
      <c r="E4" s="136"/>
      <c r="F4" s="137" t="s">
        <v>98</v>
      </c>
      <c r="G4" s="126"/>
      <c r="H4" s="126"/>
      <c r="I4" s="126"/>
      <c r="J4" s="126"/>
      <c r="K4" s="126"/>
    </row>
    <row r="5" spans="1:11" ht="33.75">
      <c r="A5" s="128"/>
      <c r="B5" s="131"/>
      <c r="C5" s="109" t="s">
        <v>99</v>
      </c>
      <c r="D5" s="110" t="s">
        <v>100</v>
      </c>
      <c r="E5" s="111" t="s">
        <v>101</v>
      </c>
      <c r="F5" s="110" t="s">
        <v>102</v>
      </c>
      <c r="G5" s="110" t="s">
        <v>103</v>
      </c>
      <c r="H5" s="110" t="s">
        <v>104</v>
      </c>
      <c r="I5" s="110" t="s">
        <v>105</v>
      </c>
      <c r="J5" s="109" t="s">
        <v>106</v>
      </c>
      <c r="K5" s="110" t="s">
        <v>107</v>
      </c>
    </row>
    <row r="6" spans="1:11" ht="12.75">
      <c r="A6" s="7"/>
      <c r="B6" s="125" t="s">
        <v>14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1.25">
      <c r="A7" s="8">
        <v>2.5</v>
      </c>
      <c r="B7" s="9">
        <f aca="true" t="shared" si="0" ref="B7:K16">B$52*($A7*10^3)^B$53</f>
        <v>0.7404194719350868</v>
      </c>
      <c r="C7" s="10">
        <f t="shared" si="0"/>
        <v>0.7297556633289524</v>
      </c>
      <c r="D7" s="10">
        <f t="shared" si="0"/>
        <v>0.7308102191882332</v>
      </c>
      <c r="E7" s="10">
        <f t="shared" si="0"/>
        <v>0.7286637716170942</v>
      </c>
      <c r="F7" s="10">
        <f t="shared" si="0"/>
        <v>0.6045394715873843</v>
      </c>
      <c r="G7" s="10">
        <f t="shared" si="0"/>
        <v>0.6596321494586826</v>
      </c>
      <c r="H7" s="10">
        <f t="shared" si="0"/>
        <v>0.6781735899078142</v>
      </c>
      <c r="I7" s="10">
        <f t="shared" si="0"/>
        <v>0.784591684254789</v>
      </c>
      <c r="J7" s="10">
        <f t="shared" si="0"/>
        <v>1.00364611253683</v>
      </c>
      <c r="K7" s="10">
        <f t="shared" si="0"/>
        <v>0.7193333665968042</v>
      </c>
    </row>
    <row r="8" spans="1:11" ht="11.25">
      <c r="A8" s="8">
        <f>A7+0.5</f>
        <v>3</v>
      </c>
      <c r="B8" s="9">
        <f t="shared" si="0"/>
        <v>0.6769556995762084</v>
      </c>
      <c r="C8" s="10">
        <f t="shared" si="0"/>
        <v>0.6678387801172205</v>
      </c>
      <c r="D8" s="10">
        <f t="shared" si="0"/>
        <v>0.6685722202182552</v>
      </c>
      <c r="E8" s="10">
        <f t="shared" si="0"/>
        <v>0.6670705716366357</v>
      </c>
      <c r="F8" s="10">
        <f t="shared" si="0"/>
        <v>0.5555917995982648</v>
      </c>
      <c r="G8" s="10">
        <f t="shared" si="0"/>
        <v>0.5978598217960412</v>
      </c>
      <c r="H8" s="10">
        <f t="shared" si="0"/>
        <v>0.6243103077685774</v>
      </c>
      <c r="I8" s="10">
        <f t="shared" si="0"/>
        <v>0.7255891542900618</v>
      </c>
      <c r="J8" s="10">
        <f t="shared" si="0"/>
        <v>0.9036575502004813</v>
      </c>
      <c r="K8" s="10">
        <f t="shared" si="0"/>
        <v>0.6585168498754123</v>
      </c>
    </row>
    <row r="9" spans="1:11" ht="11.25">
      <c r="A9" s="8">
        <f>A8+0.5</f>
        <v>3.5</v>
      </c>
      <c r="B9" s="9">
        <f t="shared" si="0"/>
        <v>0.6275609358805787</v>
      </c>
      <c r="C9" s="10">
        <f t="shared" si="0"/>
        <v>0.6196057084848176</v>
      </c>
      <c r="D9" s="10">
        <f t="shared" si="0"/>
        <v>0.6201045308983159</v>
      </c>
      <c r="E9" s="10">
        <f t="shared" si="0"/>
        <v>0.6190742738574819</v>
      </c>
      <c r="F9" s="11">
        <f t="shared" si="0"/>
        <v>0.5173122572539015</v>
      </c>
      <c r="G9" s="10">
        <f t="shared" si="0"/>
        <v>0.5501675417094414</v>
      </c>
      <c r="H9" s="10">
        <f t="shared" si="0"/>
        <v>0.5821211218829054</v>
      </c>
      <c r="I9" s="10">
        <f t="shared" si="0"/>
        <v>0.6791786089004986</v>
      </c>
      <c r="J9" s="10">
        <f t="shared" si="0"/>
        <v>0.8269310692315035</v>
      </c>
      <c r="K9" s="10">
        <f t="shared" si="0"/>
        <v>0.6111265790575324</v>
      </c>
    </row>
    <row r="10" spans="1:11" ht="11.25">
      <c r="A10" s="8">
        <f>A9+0.5</f>
        <v>4</v>
      </c>
      <c r="B10" s="9">
        <f t="shared" si="0"/>
        <v>0.5876961694841707</v>
      </c>
      <c r="C10" s="10">
        <f t="shared" si="0"/>
        <v>0.5806493263028325</v>
      </c>
      <c r="D10" s="10">
        <f t="shared" si="0"/>
        <v>0.5809693700923076</v>
      </c>
      <c r="E10" s="10">
        <f t="shared" si="0"/>
        <v>0.580298513145168</v>
      </c>
      <c r="F10" s="13">
        <f t="shared" si="0"/>
        <v>0.4862915219521613</v>
      </c>
      <c r="G10" s="11">
        <f t="shared" si="0"/>
        <v>0.5119409944003089</v>
      </c>
      <c r="H10" s="10">
        <f t="shared" si="0"/>
        <v>0.547886769264057</v>
      </c>
      <c r="I10" s="10">
        <f t="shared" si="0"/>
        <v>0.6413824204502094</v>
      </c>
      <c r="J10" s="10">
        <f t="shared" si="0"/>
        <v>0.7657537719844203</v>
      </c>
      <c r="K10" s="10">
        <f t="shared" si="0"/>
        <v>0.5728409734919917</v>
      </c>
    </row>
    <row r="11" spans="1:11" ht="11.25">
      <c r="A11" s="8">
        <f>A10+0.5</f>
        <v>4.5</v>
      </c>
      <c r="B11" s="9">
        <f t="shared" si="0"/>
        <v>0.5546402657446718</v>
      </c>
      <c r="C11" s="10">
        <f t="shared" si="0"/>
        <v>0.5483255145250302</v>
      </c>
      <c r="D11" s="10">
        <f t="shared" si="0"/>
        <v>0.5485049795519459</v>
      </c>
      <c r="E11" s="10">
        <f t="shared" si="0"/>
        <v>0.5481168786988758</v>
      </c>
      <c r="F11" s="13">
        <f t="shared" si="0"/>
        <v>0.46047702345078845</v>
      </c>
      <c r="G11" s="13">
        <f t="shared" si="0"/>
        <v>0.4804335771705715</v>
      </c>
      <c r="H11" s="11">
        <f t="shared" si="0"/>
        <v>0.51936500455465</v>
      </c>
      <c r="I11" s="10">
        <f t="shared" si="0"/>
        <v>0.6097935840526196</v>
      </c>
      <c r="J11" s="10">
        <f t="shared" si="0"/>
        <v>0.715559501486143</v>
      </c>
      <c r="K11" s="10">
        <f t="shared" si="0"/>
        <v>0.5410665391932573</v>
      </c>
    </row>
    <row r="12" spans="1:11" ht="11.25">
      <c r="A12" s="8">
        <v>5</v>
      </c>
      <c r="B12" s="12">
        <f t="shared" si="0"/>
        <v>0.5266493938450337</v>
      </c>
      <c r="C12" s="11">
        <f t="shared" si="0"/>
        <v>0.5209386583033786</v>
      </c>
      <c r="D12" s="11">
        <f t="shared" si="0"/>
        <v>0.5210048519220407</v>
      </c>
      <c r="E12" s="11">
        <f t="shared" si="0"/>
        <v>0.5208446979243507</v>
      </c>
      <c r="F12" s="13">
        <f t="shared" si="0"/>
        <v>0.4385485415892628</v>
      </c>
      <c r="G12" s="13">
        <f t="shared" si="0"/>
        <v>0.45389598136883424</v>
      </c>
      <c r="H12" s="13">
        <f t="shared" si="0"/>
        <v>0.4951118923748138</v>
      </c>
      <c r="I12" s="10">
        <f t="shared" si="0"/>
        <v>0.5828570295763447</v>
      </c>
      <c r="J12" s="10">
        <f t="shared" si="0"/>
        <v>0.6734536968390162</v>
      </c>
      <c r="K12" s="11">
        <f t="shared" si="0"/>
        <v>0.5141397390748772</v>
      </c>
    </row>
    <row r="13" spans="1:11" ht="11.25">
      <c r="A13" s="8">
        <f aca="true" t="shared" si="1" ref="A13:A26">A12+1</f>
        <v>6</v>
      </c>
      <c r="B13" s="14">
        <f t="shared" si="0"/>
        <v>0.4815085534014794</v>
      </c>
      <c r="C13" s="13">
        <f t="shared" si="0"/>
        <v>0.4767390724865208</v>
      </c>
      <c r="D13" s="13">
        <f t="shared" si="0"/>
        <v>0.47663450981968747</v>
      </c>
      <c r="E13" s="13">
        <f t="shared" si="0"/>
        <v>0.476818230728348</v>
      </c>
      <c r="F13" s="13">
        <f t="shared" si="0"/>
        <v>0.40304063652451466</v>
      </c>
      <c r="G13" s="13">
        <f t="shared" si="0"/>
        <v>0.41139015246270727</v>
      </c>
      <c r="H13" s="13">
        <f t="shared" si="0"/>
        <v>0.455788108691198</v>
      </c>
      <c r="I13" s="10">
        <f t="shared" si="0"/>
        <v>0.5390252632667207</v>
      </c>
      <c r="J13" s="10">
        <f t="shared" si="0"/>
        <v>0.6063606586596237</v>
      </c>
      <c r="K13" s="13">
        <f t="shared" si="0"/>
        <v>0.47067145372825075</v>
      </c>
    </row>
    <row r="14" spans="1:11" ht="11.25">
      <c r="A14" s="8">
        <f t="shared" si="1"/>
        <v>7</v>
      </c>
      <c r="B14" s="14">
        <f t="shared" si="0"/>
        <v>0.44637479025039034</v>
      </c>
      <c r="C14" s="13">
        <f t="shared" si="0"/>
        <v>0.4423077239068955</v>
      </c>
      <c r="D14" s="13">
        <f t="shared" si="0"/>
        <v>0.44208121453984384</v>
      </c>
      <c r="E14" s="13">
        <f t="shared" si="0"/>
        <v>0.442510751487556</v>
      </c>
      <c r="F14" s="13">
        <f t="shared" si="0"/>
        <v>0.37527166814972035</v>
      </c>
      <c r="G14" s="13">
        <f t="shared" si="0"/>
        <v>0.37857287044971083</v>
      </c>
      <c r="H14" s="13">
        <f t="shared" si="0"/>
        <v>0.42498719286012426</v>
      </c>
      <c r="I14" s="11">
        <f t="shared" si="0"/>
        <v>0.5045478233834881</v>
      </c>
      <c r="J14" s="10">
        <f t="shared" si="0"/>
        <v>0.5548766429208493</v>
      </c>
      <c r="K14" s="13">
        <f t="shared" si="0"/>
        <v>0.43679950700031694</v>
      </c>
    </row>
    <row r="15" spans="1:11" ht="11.25">
      <c r="A15" s="8">
        <f t="shared" si="1"/>
        <v>8</v>
      </c>
      <c r="B15" s="14">
        <f t="shared" si="0"/>
        <v>0.41801957289829605</v>
      </c>
      <c r="C15" s="13">
        <f t="shared" si="0"/>
        <v>0.4144985728635699</v>
      </c>
      <c r="D15" s="13">
        <f t="shared" si="0"/>
        <v>0.4141812096886146</v>
      </c>
      <c r="E15" s="13">
        <f t="shared" si="0"/>
        <v>0.4147940594250815</v>
      </c>
      <c r="F15" s="13">
        <f t="shared" si="0"/>
        <v>0.3527684258223279</v>
      </c>
      <c r="G15" s="13">
        <f t="shared" si="0"/>
        <v>0.3522690036362762</v>
      </c>
      <c r="H15" s="13">
        <f t="shared" si="0"/>
        <v>0.39999383516884524</v>
      </c>
      <c r="I15" s="13">
        <f t="shared" si="0"/>
        <v>0.47646981214332645</v>
      </c>
      <c r="J15" s="11">
        <f t="shared" si="0"/>
        <v>0.5138262403147652</v>
      </c>
      <c r="K15" s="13">
        <f t="shared" si="0"/>
        <v>0.4094350718582112</v>
      </c>
    </row>
    <row r="16" spans="1:11" ht="11.25">
      <c r="A16" s="8">
        <f t="shared" si="1"/>
        <v>9</v>
      </c>
      <c r="B16" s="14">
        <f t="shared" si="0"/>
        <v>0.3945073986142936</v>
      </c>
      <c r="C16" s="13">
        <f t="shared" si="0"/>
        <v>0.3914241056344078</v>
      </c>
      <c r="D16" s="13">
        <f t="shared" si="0"/>
        <v>0.39103689049038515</v>
      </c>
      <c r="E16" s="13">
        <f t="shared" si="0"/>
        <v>0.3917908111166165</v>
      </c>
      <c r="F16" s="13">
        <f t="shared" si="0"/>
        <v>0.33404192209229155</v>
      </c>
      <c r="G16" s="13">
        <f t="shared" si="0"/>
        <v>0.33058860180076083</v>
      </c>
      <c r="H16" s="13">
        <f t="shared" si="0"/>
        <v>0.3791710471551404</v>
      </c>
      <c r="I16" s="13">
        <f t="shared" si="0"/>
        <v>0.4530031151084731</v>
      </c>
      <c r="J16" s="13">
        <f t="shared" si="0"/>
        <v>0.4801455269587793</v>
      </c>
      <c r="K16" s="13">
        <f t="shared" si="0"/>
        <v>0.3867244621211823</v>
      </c>
    </row>
    <row r="17" spans="1:11" ht="11.25">
      <c r="A17" s="8">
        <f t="shared" si="1"/>
        <v>10</v>
      </c>
      <c r="B17" s="14">
        <f aca="true" t="shared" si="2" ref="B17:K26">B$52*($A17*10^3)^B$53</f>
        <v>0.37459790639009255</v>
      </c>
      <c r="C17" s="13">
        <f t="shared" si="2"/>
        <v>0.3718739015699778</v>
      </c>
      <c r="D17" s="13">
        <f t="shared" si="2"/>
        <v>0.37143166392476484</v>
      </c>
      <c r="E17" s="13">
        <f t="shared" si="2"/>
        <v>0.37229681222365363</v>
      </c>
      <c r="F17" s="13">
        <f t="shared" si="2"/>
        <v>0.3181344351677614</v>
      </c>
      <c r="G17" s="13">
        <f t="shared" si="2"/>
        <v>0.31232795744089475</v>
      </c>
      <c r="H17" s="13">
        <f t="shared" si="2"/>
        <v>0.3614646598141505</v>
      </c>
      <c r="I17" s="13">
        <f t="shared" si="2"/>
        <v>0.4329925026534417</v>
      </c>
      <c r="J17" s="13">
        <f t="shared" si="2"/>
        <v>0.4518922318542781</v>
      </c>
      <c r="K17" s="13">
        <f t="shared" si="2"/>
        <v>0.36747867340922163</v>
      </c>
    </row>
    <row r="18" spans="1:11" ht="11.25">
      <c r="A18" s="8">
        <f t="shared" si="1"/>
        <v>11</v>
      </c>
      <c r="B18" s="14">
        <f t="shared" si="2"/>
        <v>0.35745455947769805</v>
      </c>
      <c r="C18" s="13">
        <f t="shared" si="2"/>
        <v>0.3550311322450677</v>
      </c>
      <c r="D18" s="13">
        <f t="shared" si="2"/>
        <v>0.3545447141741456</v>
      </c>
      <c r="E18" s="13">
        <f t="shared" si="2"/>
        <v>0.355499259890795</v>
      </c>
      <c r="F18" s="13">
        <f t="shared" si="2"/>
        <v>0.30439795300535666</v>
      </c>
      <c r="G18" s="13">
        <f t="shared" si="2"/>
        <v>0.2966796690684188</v>
      </c>
      <c r="H18" s="13">
        <f t="shared" si="2"/>
        <v>0.34616065439532745</v>
      </c>
      <c r="I18" s="13">
        <f t="shared" si="2"/>
        <v>0.41565326198714314</v>
      </c>
      <c r="J18" s="13">
        <f t="shared" si="2"/>
        <v>0.427768938637979</v>
      </c>
      <c r="K18" s="13">
        <f t="shared" si="2"/>
        <v>0.35089516488574946</v>
      </c>
    </row>
    <row r="19" spans="1:11" ht="11.25">
      <c r="A19" s="8">
        <f t="shared" si="1"/>
        <v>12</v>
      </c>
      <c r="B19" s="14">
        <f t="shared" si="2"/>
        <v>0.3424898957848052</v>
      </c>
      <c r="C19" s="13">
        <f t="shared" si="2"/>
        <v>0.3403218710890303</v>
      </c>
      <c r="D19" s="13">
        <f t="shared" si="2"/>
        <v>0.33979942492509013</v>
      </c>
      <c r="E19" s="13">
        <f t="shared" si="2"/>
        <v>0.3408269451867775</v>
      </c>
      <c r="F19" s="13">
        <f t="shared" si="2"/>
        <v>0.2923760840378562</v>
      </c>
      <c r="G19" s="13">
        <f t="shared" si="2"/>
        <v>0.2830794968540735</v>
      </c>
      <c r="H19" s="13">
        <f t="shared" si="2"/>
        <v>0.33275567844910015</v>
      </c>
      <c r="I19" s="13">
        <f t="shared" si="2"/>
        <v>0.40043078472422705</v>
      </c>
      <c r="J19" s="13">
        <f t="shared" si="2"/>
        <v>0.4068723249073307</v>
      </c>
      <c r="K19" s="13">
        <f t="shared" si="2"/>
        <v>0.3364099451617338</v>
      </c>
    </row>
    <row r="20" spans="1:11" ht="11.25">
      <c r="A20" s="8">
        <f t="shared" si="1"/>
        <v>13</v>
      </c>
      <c r="B20" s="14">
        <f t="shared" si="2"/>
        <v>0.32927760036152876</v>
      </c>
      <c r="C20" s="13">
        <f t="shared" si="2"/>
        <v>0.3273294253361825</v>
      </c>
      <c r="D20" s="13">
        <f t="shared" si="2"/>
        <v>0.3267772241317567</v>
      </c>
      <c r="E20" s="13">
        <f t="shared" si="2"/>
        <v>0.3278650755578333</v>
      </c>
      <c r="F20" s="13">
        <f t="shared" si="2"/>
        <v>0.28173675855444813</v>
      </c>
      <c r="G20" s="13">
        <f t="shared" si="2"/>
        <v>0.2711197848014363</v>
      </c>
      <c r="H20" s="13">
        <f t="shared" si="2"/>
        <v>0.3208831818189268</v>
      </c>
      <c r="I20" s="13">
        <f t="shared" si="2"/>
        <v>0.38692025654601914</v>
      </c>
      <c r="J20" s="13">
        <f t="shared" si="2"/>
        <v>0.38855194043153174</v>
      </c>
      <c r="K20" s="13">
        <f t="shared" si="2"/>
        <v>0.3236134666063977</v>
      </c>
    </row>
    <row r="21" spans="1:11" ht="11.25">
      <c r="A21" s="8">
        <f t="shared" si="1"/>
        <v>14</v>
      </c>
      <c r="B21" s="14">
        <f t="shared" si="2"/>
        <v>0.3174997709051093</v>
      </c>
      <c r="C21" s="13">
        <f t="shared" si="2"/>
        <v>0.31574293126851033</v>
      </c>
      <c r="D21" s="13">
        <f t="shared" si="2"/>
        <v>0.3151658962496288</v>
      </c>
      <c r="E21" s="13">
        <f t="shared" si="2"/>
        <v>0.31630415517340743</v>
      </c>
      <c r="F21" s="13">
        <f t="shared" si="2"/>
        <v>0.2722317573982281</v>
      </c>
      <c r="G21" s="13">
        <f t="shared" si="2"/>
        <v>0.2604977709067095</v>
      </c>
      <c r="H21" s="13">
        <f t="shared" si="2"/>
        <v>0.31026895830702966</v>
      </c>
      <c r="I21" s="13">
        <f t="shared" si="2"/>
        <v>0.37481820355492135</v>
      </c>
      <c r="J21" s="13">
        <f t="shared" si="2"/>
        <v>0.37232618329994877</v>
      </c>
      <c r="K21" s="13">
        <f t="shared" si="2"/>
        <v>0.31220014945178504</v>
      </c>
    </row>
    <row r="22" spans="1:11" ht="11.25">
      <c r="A22" s="8">
        <f t="shared" si="1"/>
        <v>15</v>
      </c>
      <c r="B22" s="14">
        <f t="shared" si="2"/>
        <v>0.30691385341413996</v>
      </c>
      <c r="C22" s="13">
        <f t="shared" si="2"/>
        <v>0.30532510912438815</v>
      </c>
      <c r="D22" s="13">
        <f t="shared" si="2"/>
        <v>0.30472716494186697</v>
      </c>
      <c r="E22" s="13">
        <f t="shared" si="2"/>
        <v>0.3059079134084883</v>
      </c>
      <c r="F22" s="13">
        <f t="shared" si="2"/>
        <v>0.26367127425058284</v>
      </c>
      <c r="G22" s="15">
        <f t="shared" si="2"/>
        <v>0.25098331142730224</v>
      </c>
      <c r="H22" s="13">
        <f t="shared" si="2"/>
        <v>0.30070317974040406</v>
      </c>
      <c r="I22" s="13">
        <f t="shared" si="2"/>
        <v>0.36389194697831</v>
      </c>
      <c r="J22" s="13">
        <f t="shared" si="2"/>
        <v>0.3578299988522974</v>
      </c>
      <c r="K22" s="13">
        <f t="shared" si="2"/>
        <v>0.30193671443103476</v>
      </c>
    </row>
    <row r="23" spans="1:11" ht="11.25">
      <c r="A23" s="8">
        <f t="shared" si="1"/>
        <v>16</v>
      </c>
      <c r="B23" s="14">
        <f t="shared" si="2"/>
        <v>0.29733112516191135</v>
      </c>
      <c r="C23" s="13">
        <f t="shared" si="2"/>
        <v>0.2958912705537708</v>
      </c>
      <c r="D23" s="13">
        <f t="shared" si="2"/>
        <v>0.29527559160626277</v>
      </c>
      <c r="E23" s="13">
        <f t="shared" si="2"/>
        <v>0.29649242215324617</v>
      </c>
      <c r="F23" s="15">
        <f t="shared" si="2"/>
        <v>0.2559073243917369</v>
      </c>
      <c r="G23" s="17">
        <f t="shared" si="2"/>
        <v>0.24239795656188592</v>
      </c>
      <c r="H23" s="13">
        <f t="shared" si="2"/>
        <v>0.2920221424364619</v>
      </c>
      <c r="I23" s="13">
        <f t="shared" si="2"/>
        <v>0.3539596263404612</v>
      </c>
      <c r="J23" s="13">
        <f t="shared" si="2"/>
        <v>0.3447810704892987</v>
      </c>
      <c r="K23" s="13">
        <f t="shared" si="2"/>
        <v>0.29264156340918934</v>
      </c>
    </row>
    <row r="24" spans="1:11" ht="11.25">
      <c r="A24" s="8">
        <f t="shared" si="1"/>
        <v>17</v>
      </c>
      <c r="B24" s="14">
        <f t="shared" si="2"/>
        <v>0.28860224223915887</v>
      </c>
      <c r="C24" s="13">
        <f t="shared" si="2"/>
        <v>0.2872952130637565</v>
      </c>
      <c r="D24" s="13">
        <f t="shared" si="2"/>
        <v>0.2866643986042018</v>
      </c>
      <c r="E24" s="13">
        <f t="shared" si="2"/>
        <v>0.28791206211777354</v>
      </c>
      <c r="F24" s="17">
        <f t="shared" si="2"/>
        <v>0.24882257753782128</v>
      </c>
      <c r="G24" s="17">
        <f t="shared" si="2"/>
        <v>0.23460094529197148</v>
      </c>
      <c r="H24" s="13">
        <f t="shared" si="2"/>
        <v>0.2840959728975606</v>
      </c>
      <c r="I24" s="13">
        <f t="shared" si="2"/>
        <v>0.3448767196791761</v>
      </c>
      <c r="J24" s="13">
        <f t="shared" si="2"/>
        <v>0.3329572505430705</v>
      </c>
      <c r="K24" s="13">
        <f t="shared" si="2"/>
        <v>0.28417092274803507</v>
      </c>
    </row>
    <row r="25" spans="1:11" ht="11.25">
      <c r="A25" s="8">
        <f t="shared" si="1"/>
        <v>18</v>
      </c>
      <c r="B25" s="14">
        <f t="shared" si="2"/>
        <v>0.28060726415608644</v>
      </c>
      <c r="C25" s="13">
        <f t="shared" si="2"/>
        <v>0.27941948060617244</v>
      </c>
      <c r="D25" s="13">
        <f t="shared" si="2"/>
        <v>0.2787756819442115</v>
      </c>
      <c r="E25" s="13">
        <f t="shared" si="2"/>
        <v>0.28004983178003157</v>
      </c>
      <c r="F25" s="17">
        <f t="shared" si="2"/>
        <v>0.24232263507722598</v>
      </c>
      <c r="G25" s="17">
        <f t="shared" si="2"/>
        <v>0.22747957019203166</v>
      </c>
      <c r="H25" s="13">
        <f t="shared" si="2"/>
        <v>0.2768201202235557</v>
      </c>
      <c r="I25" s="13">
        <f t="shared" si="2"/>
        <v>0.3365266996319735</v>
      </c>
      <c r="J25" s="13">
        <f t="shared" si="2"/>
        <v>0.3221810717064294</v>
      </c>
      <c r="K25" s="13">
        <f t="shared" si="2"/>
        <v>0.2764092745892378</v>
      </c>
    </row>
    <row r="26" spans="1:11" ht="11.25">
      <c r="A26" s="8">
        <f t="shared" si="1"/>
        <v>19</v>
      </c>
      <c r="B26" s="14">
        <f t="shared" si="2"/>
        <v>0.27324860341263274</v>
      </c>
      <c r="C26" s="13">
        <f t="shared" si="2"/>
        <v>0.2721684776550171</v>
      </c>
      <c r="D26" s="13">
        <f t="shared" si="2"/>
        <v>0.27151349232887917</v>
      </c>
      <c r="E26" s="13">
        <f t="shared" si="2"/>
        <v>0.27281049482460373</v>
      </c>
      <c r="F26" s="17">
        <f t="shared" si="2"/>
        <v>0.23633056186742823</v>
      </c>
      <c r="G26" s="17">
        <f t="shared" si="2"/>
        <v>0.22094238818202908</v>
      </c>
      <c r="H26" s="13">
        <f t="shared" si="2"/>
        <v>0.2701093286689648</v>
      </c>
      <c r="I26" s="13">
        <f t="shared" si="2"/>
        <v>0.3288144028706402</v>
      </c>
      <c r="J26" s="13">
        <f t="shared" si="2"/>
        <v>0.31230885855680685</v>
      </c>
      <c r="K26" s="13">
        <f t="shared" si="2"/>
        <v>0.2692625908396834</v>
      </c>
    </row>
    <row r="27" spans="1:11" ht="11.25">
      <c r="A27" s="8">
        <f>A22+5</f>
        <v>20</v>
      </c>
      <c r="B27" s="16">
        <f aca="true" t="shared" si="3" ref="B27:K36">B$52*($A27*10^3)^B$53</f>
        <v>0.2664459374904947</v>
      </c>
      <c r="C27" s="15">
        <f t="shared" si="3"/>
        <v>0.2654634983690184</v>
      </c>
      <c r="D27" s="15">
        <f t="shared" si="3"/>
        <v>0.26479884104143236</v>
      </c>
      <c r="E27" s="15">
        <f t="shared" si="3"/>
        <v>0.2661156328254029</v>
      </c>
      <c r="F27" s="17">
        <f t="shared" si="3"/>
        <v>0.23078293333900055</v>
      </c>
      <c r="G27" s="17">
        <f t="shared" si="3"/>
        <v>0.21491433500913434</v>
      </c>
      <c r="H27" s="15">
        <f t="shared" si="3"/>
        <v>0.2638932780787435</v>
      </c>
      <c r="I27" s="13">
        <f t="shared" si="3"/>
        <v>0.3216612270943432</v>
      </c>
      <c r="J27" s="13">
        <f t="shared" si="3"/>
        <v>0.30322290926417556</v>
      </c>
      <c r="K27" s="15">
        <f t="shared" si="3"/>
        <v>0.26265344836714677</v>
      </c>
    </row>
    <row r="28" spans="1:11" ht="11.25">
      <c r="A28" s="8">
        <f>A27+5</f>
        <v>25</v>
      </c>
      <c r="B28" s="18">
        <f t="shared" si="3"/>
        <v>0.2387689400715419</v>
      </c>
      <c r="C28" s="17">
        <f t="shared" si="3"/>
        <v>0.2381647448889892</v>
      </c>
      <c r="D28" s="17">
        <f t="shared" si="3"/>
        <v>0.2374677359393308</v>
      </c>
      <c r="E28" s="17">
        <f t="shared" si="3"/>
        <v>0.23885106243107154</v>
      </c>
      <c r="F28" s="17">
        <f t="shared" si="3"/>
        <v>0.20812519706947977</v>
      </c>
      <c r="G28" s="17">
        <f t="shared" si="3"/>
        <v>0.1905468678347799</v>
      </c>
      <c r="H28" s="17">
        <f t="shared" si="3"/>
        <v>0.23847391034841545</v>
      </c>
      <c r="I28" s="13">
        <f t="shared" si="3"/>
        <v>0.2923100187599311</v>
      </c>
      <c r="J28" s="15">
        <f t="shared" si="3"/>
        <v>0.26667395797613586</v>
      </c>
      <c r="K28" s="17">
        <f t="shared" si="3"/>
        <v>0.23573833168288433</v>
      </c>
    </row>
    <row r="29" spans="1:11" ht="11.25">
      <c r="A29" s="8">
        <f>A28+5</f>
        <v>30</v>
      </c>
      <c r="B29" s="19">
        <f t="shared" si="3"/>
        <v>0.21830327400867058</v>
      </c>
      <c r="C29" s="17">
        <f t="shared" si="3"/>
        <v>0.21795740778224573</v>
      </c>
      <c r="D29" s="17">
        <f t="shared" si="3"/>
        <v>0.21724426845523911</v>
      </c>
      <c r="E29" s="17">
        <f t="shared" si="3"/>
        <v>0.21866122752105102</v>
      </c>
      <c r="F29" s="17">
        <f t="shared" si="3"/>
        <v>0.1912739501987362</v>
      </c>
      <c r="G29" s="17">
        <f t="shared" si="3"/>
        <v>0.17270279585520848</v>
      </c>
      <c r="H29" s="17">
        <f t="shared" si="3"/>
        <v>0.21953335042821878</v>
      </c>
      <c r="I29" s="13">
        <f t="shared" si="3"/>
        <v>0.2703278451185494</v>
      </c>
      <c r="J29" s="17">
        <f t="shared" si="3"/>
        <v>0.24010648031891574</v>
      </c>
      <c r="K29" s="17">
        <f t="shared" si="3"/>
        <v>0.2158076780299152</v>
      </c>
    </row>
    <row r="30" spans="1:11" ht="11.25">
      <c r="A30" s="8">
        <f>A29+5</f>
        <v>35</v>
      </c>
      <c r="B30" s="19">
        <f t="shared" si="3"/>
        <v>0.20237455276385213</v>
      </c>
      <c r="C30" s="17">
        <f t="shared" si="3"/>
        <v>0.20221595104843856</v>
      </c>
      <c r="D30" s="17">
        <f t="shared" si="3"/>
        <v>0.20149529266532565</v>
      </c>
      <c r="E30" s="17">
        <f t="shared" si="3"/>
        <v>0.20292836530962619</v>
      </c>
      <c r="F30" s="17">
        <f t="shared" si="3"/>
        <v>0.17809542725923214</v>
      </c>
      <c r="G30" s="17">
        <f t="shared" si="3"/>
        <v>0.15892600435428167</v>
      </c>
      <c r="H30" s="17">
        <f t="shared" si="3"/>
        <v>0.2046978860540608</v>
      </c>
      <c r="I30" s="15">
        <f t="shared" si="3"/>
        <v>0.25303698202921265</v>
      </c>
      <c r="J30" s="17">
        <f t="shared" si="3"/>
        <v>0.21971985787700726</v>
      </c>
      <c r="K30" s="17">
        <f t="shared" si="3"/>
        <v>0.20027704383528475</v>
      </c>
    </row>
    <row r="31" spans="1:11" ht="11.25">
      <c r="A31" s="8">
        <f>A30+5</f>
        <v>40</v>
      </c>
      <c r="B31" s="19">
        <f t="shared" si="3"/>
        <v>0.18951904533940075</v>
      </c>
      <c r="C31" s="17">
        <f t="shared" si="3"/>
        <v>0.18950205612387355</v>
      </c>
      <c r="D31" s="17">
        <f t="shared" si="3"/>
        <v>0.1887788065130833</v>
      </c>
      <c r="E31" s="17">
        <f t="shared" si="3"/>
        <v>0.1902179328667518</v>
      </c>
      <c r="F31" s="17">
        <f t="shared" si="3"/>
        <v>0.16741589854134334</v>
      </c>
      <c r="G31" s="17">
        <f t="shared" si="3"/>
        <v>0.14788356370933922</v>
      </c>
      <c r="H31" s="17">
        <f t="shared" si="3"/>
        <v>0.1926596703836849</v>
      </c>
      <c r="I31" s="17">
        <f t="shared" si="3"/>
        <v>0.23895551165847892</v>
      </c>
      <c r="J31" s="17">
        <f t="shared" si="3"/>
        <v>0.20346473389318992</v>
      </c>
      <c r="K31" s="17">
        <f t="shared" si="3"/>
        <v>0.18773017029570604</v>
      </c>
    </row>
    <row r="32" spans="1:11" ht="11.25">
      <c r="A32" s="8">
        <f aca="true" t="shared" si="4" ref="A32:A37">A31+10</f>
        <v>50</v>
      </c>
      <c r="B32" s="19">
        <f t="shared" si="3"/>
        <v>0.16983280738019704</v>
      </c>
      <c r="C32" s="17">
        <f t="shared" si="3"/>
        <v>0.1700147445127945</v>
      </c>
      <c r="D32" s="17">
        <f t="shared" si="3"/>
        <v>0.16929407847739267</v>
      </c>
      <c r="E32" s="17">
        <f t="shared" si="3"/>
        <v>0.17072937383004</v>
      </c>
      <c r="F32" s="17">
        <f t="shared" si="3"/>
        <v>0.15097939164027788</v>
      </c>
      <c r="G32" s="17">
        <f t="shared" si="3"/>
        <v>0.13111619505447158</v>
      </c>
      <c r="H32" s="17">
        <f t="shared" si="3"/>
        <v>0.1741018388089625</v>
      </c>
      <c r="I32" s="17">
        <f t="shared" si="3"/>
        <v>0.21715110250198805</v>
      </c>
      <c r="J32" s="17">
        <f t="shared" si="3"/>
        <v>0.17894012700929068</v>
      </c>
      <c r="K32" s="17">
        <f t="shared" si="3"/>
        <v>0.16849273225681005</v>
      </c>
    </row>
    <row r="33" spans="1:11" ht="11.25">
      <c r="A33" s="8">
        <f t="shared" si="4"/>
        <v>60</v>
      </c>
      <c r="B33" s="19">
        <f t="shared" si="3"/>
        <v>0.15527588250830346</v>
      </c>
      <c r="C33" s="17">
        <f t="shared" si="3"/>
        <v>0.15558966553190556</v>
      </c>
      <c r="D33" s="17">
        <f t="shared" si="3"/>
        <v>0.15487648495550255</v>
      </c>
      <c r="E33" s="17">
        <f t="shared" si="3"/>
        <v>0.1562977952687581</v>
      </c>
      <c r="F33" s="17">
        <f t="shared" si="3"/>
        <v>0.13875506206967017</v>
      </c>
      <c r="G33" s="17">
        <f t="shared" si="3"/>
        <v>0.11883760528374827</v>
      </c>
      <c r="H33" s="17">
        <f t="shared" si="3"/>
        <v>0.16027396847564293</v>
      </c>
      <c r="I33" s="17">
        <f t="shared" si="3"/>
        <v>0.20082099769796302</v>
      </c>
      <c r="J33" s="17">
        <f t="shared" si="3"/>
        <v>0.16111316009291526</v>
      </c>
      <c r="K33" s="17">
        <f t="shared" si="3"/>
        <v>0.15424740242148066</v>
      </c>
    </row>
    <row r="34" spans="1:11" ht="11.25">
      <c r="A34" s="8">
        <f t="shared" si="4"/>
        <v>70</v>
      </c>
      <c r="B34" s="19">
        <f t="shared" si="3"/>
        <v>0.1439460192263644</v>
      </c>
      <c r="C34" s="17">
        <f t="shared" si="3"/>
        <v>0.14435257103202534</v>
      </c>
      <c r="D34" s="17">
        <f t="shared" si="3"/>
        <v>0.14364881929907275</v>
      </c>
      <c r="E34" s="17">
        <f t="shared" si="3"/>
        <v>0.1450520353103487</v>
      </c>
      <c r="F34" s="17">
        <f t="shared" si="3"/>
        <v>0.12919502126663593</v>
      </c>
      <c r="G34" s="17">
        <f t="shared" si="3"/>
        <v>0.10935773032077283</v>
      </c>
      <c r="H34" s="17">
        <f t="shared" si="3"/>
        <v>0.14944309132286698</v>
      </c>
      <c r="I34" s="17">
        <f t="shared" si="3"/>
        <v>0.18797597104102837</v>
      </c>
      <c r="J34" s="17">
        <f t="shared" si="3"/>
        <v>0.14743359109138565</v>
      </c>
      <c r="K34" s="17">
        <f t="shared" si="3"/>
        <v>0.14314696334373894</v>
      </c>
    </row>
    <row r="35" spans="1:11" ht="11.25">
      <c r="A35" s="8">
        <f t="shared" si="4"/>
        <v>80</v>
      </c>
      <c r="B35" s="19">
        <f t="shared" si="3"/>
        <v>0.13480208737518898</v>
      </c>
      <c r="C35" s="17">
        <f t="shared" si="3"/>
        <v>0.13527671222525717</v>
      </c>
      <c r="D35" s="17">
        <f t="shared" si="3"/>
        <v>0.13458305802376241</v>
      </c>
      <c r="E35" s="17">
        <f t="shared" si="3"/>
        <v>0.13596669087020324</v>
      </c>
      <c r="F35" s="17">
        <f t="shared" si="3"/>
        <v>0.1214478153947132</v>
      </c>
      <c r="G35" s="17">
        <f t="shared" si="3"/>
        <v>0.10175937502933301</v>
      </c>
      <c r="H35" s="17">
        <f t="shared" si="3"/>
        <v>0.14065439204281088</v>
      </c>
      <c r="I35" s="17">
        <f t="shared" si="3"/>
        <v>0.17751513624369203</v>
      </c>
      <c r="J35" s="17">
        <f t="shared" si="3"/>
        <v>0.13652628701006136</v>
      </c>
      <c r="K35" s="17">
        <f t="shared" si="3"/>
        <v>0.13417915149543874</v>
      </c>
    </row>
    <row r="36" spans="1:11" ht="11.25">
      <c r="A36" s="8">
        <f t="shared" si="4"/>
        <v>90</v>
      </c>
      <c r="B36" s="19">
        <f t="shared" si="3"/>
        <v>0.12721993003686763</v>
      </c>
      <c r="C36" s="17">
        <f t="shared" si="3"/>
        <v>0.12774607577083952</v>
      </c>
      <c r="D36" s="17">
        <f t="shared" si="3"/>
        <v>0.12706259794321567</v>
      </c>
      <c r="E36" s="17">
        <f t="shared" si="3"/>
        <v>0.12842638145472438</v>
      </c>
      <c r="F36" s="17">
        <f t="shared" si="3"/>
        <v>0.11500082977605333</v>
      </c>
      <c r="G36" s="17">
        <f t="shared" si="3"/>
        <v>0.09549659255800103</v>
      </c>
      <c r="H36" s="17">
        <f t="shared" si="3"/>
        <v>0.13333223772143823</v>
      </c>
      <c r="I36" s="17">
        <f t="shared" si="3"/>
        <v>0.1687723076002724</v>
      </c>
      <c r="J36" s="17">
        <f t="shared" si="3"/>
        <v>0.12757714744193413</v>
      </c>
      <c r="K36" s="17">
        <f t="shared" si="3"/>
        <v>0.12673648096252974</v>
      </c>
    </row>
    <row r="37" spans="1:11" ht="11.25">
      <c r="A37" s="8">
        <f t="shared" si="4"/>
        <v>100</v>
      </c>
      <c r="B37" s="19">
        <f aca="true" t="shared" si="5" ref="B37:K46">B$52*($A37*10^3)^B$53</f>
        <v>0.12079955815859837</v>
      </c>
      <c r="C37" s="17">
        <f t="shared" si="5"/>
        <v>0.12136562598811025</v>
      </c>
      <c r="D37" s="17">
        <f t="shared" si="5"/>
        <v>0.12069212221247558</v>
      </c>
      <c r="E37" s="17">
        <f t="shared" si="5"/>
        <v>0.122036380293721</v>
      </c>
      <c r="F37" s="17">
        <f t="shared" si="5"/>
        <v>0.10952434890648377</v>
      </c>
      <c r="G37" s="17">
        <f t="shared" si="5"/>
        <v>0.09022166987530171</v>
      </c>
      <c r="H37" s="17">
        <f t="shared" si="5"/>
        <v>0.12710593889443209</v>
      </c>
      <c r="I37" s="17">
        <f t="shared" si="5"/>
        <v>0.16131708902032582</v>
      </c>
      <c r="J37" s="17">
        <f t="shared" si="5"/>
        <v>0.12007010094688902</v>
      </c>
      <c r="K37" s="17">
        <f t="shared" si="5"/>
        <v>0.12042929387298403</v>
      </c>
    </row>
    <row r="38" spans="1:11" ht="11.25">
      <c r="A38" s="8">
        <f aca="true" t="shared" si="6" ref="A38:A43">A37+25</f>
        <v>125</v>
      </c>
      <c r="B38" s="19">
        <f t="shared" si="5"/>
        <v>0.10825153775770403</v>
      </c>
      <c r="C38" s="17">
        <f t="shared" si="5"/>
        <v>0.10888507658996563</v>
      </c>
      <c r="D38" s="17">
        <f t="shared" si="5"/>
        <v>0.10823493371341904</v>
      </c>
      <c r="E38" s="17">
        <f t="shared" si="5"/>
        <v>0.1095332836290823</v>
      </c>
      <c r="F38" s="17">
        <f t="shared" si="5"/>
        <v>0.09877150086564164</v>
      </c>
      <c r="G38" s="17">
        <f t="shared" si="5"/>
        <v>0.07999213549357512</v>
      </c>
      <c r="H38" s="17">
        <f t="shared" si="5"/>
        <v>0.11486253267738523</v>
      </c>
      <c r="I38" s="17">
        <f t="shared" si="5"/>
        <v>0.1465970945388408</v>
      </c>
      <c r="J38" s="17">
        <f t="shared" si="5"/>
        <v>0.10559746007253308</v>
      </c>
      <c r="K38" s="17">
        <f t="shared" si="5"/>
        <v>0.10808843744431175</v>
      </c>
    </row>
    <row r="39" spans="1:11" ht="11.25">
      <c r="A39" s="8">
        <f t="shared" si="6"/>
        <v>150</v>
      </c>
      <c r="B39" s="19">
        <f t="shared" si="5"/>
        <v>0.09897294473016163</v>
      </c>
      <c r="C39" s="17">
        <f t="shared" si="5"/>
        <v>0.09964660827857644</v>
      </c>
      <c r="D39" s="17">
        <f t="shared" si="5"/>
        <v>0.09901732082829273</v>
      </c>
      <c r="E39" s="17">
        <f t="shared" si="5"/>
        <v>0.1002745476991895</v>
      </c>
      <c r="F39" s="17">
        <f t="shared" si="5"/>
        <v>0.09077428107526161</v>
      </c>
      <c r="G39" s="17">
        <f t="shared" si="5"/>
        <v>0.0725011415991772</v>
      </c>
      <c r="H39" s="17">
        <f t="shared" si="5"/>
        <v>0.1057396869976083</v>
      </c>
      <c r="I39" s="17">
        <f t="shared" si="5"/>
        <v>0.13557276221815678</v>
      </c>
      <c r="J39" s="17">
        <f t="shared" si="5"/>
        <v>0.09507727961536495</v>
      </c>
      <c r="K39" s="17">
        <f t="shared" si="5"/>
        <v>0.09895002878919683</v>
      </c>
    </row>
    <row r="40" spans="1:11" ht="11.25">
      <c r="A40" s="8">
        <f t="shared" si="6"/>
        <v>175</v>
      </c>
      <c r="B40" s="19">
        <f t="shared" si="5"/>
        <v>0.09175128278054309</v>
      </c>
      <c r="C40" s="17">
        <f t="shared" si="5"/>
        <v>0.09244986837949036</v>
      </c>
      <c r="D40" s="17">
        <f t="shared" si="5"/>
        <v>0.09183912736157675</v>
      </c>
      <c r="E40" s="17">
        <f t="shared" si="5"/>
        <v>0.09305970828687334</v>
      </c>
      <c r="F40" s="17">
        <f t="shared" si="5"/>
        <v>0.08452005281143174</v>
      </c>
      <c r="G40" s="17">
        <f t="shared" si="5"/>
        <v>0.06671760401112072</v>
      </c>
      <c r="H40" s="17">
        <f t="shared" si="5"/>
        <v>0.09859408767828944</v>
      </c>
      <c r="I40" s="17">
        <f t="shared" si="5"/>
        <v>0.1269011802391367</v>
      </c>
      <c r="J40" s="17">
        <f t="shared" si="5"/>
        <v>0.08700459203214056</v>
      </c>
      <c r="K40" s="17">
        <f t="shared" si="5"/>
        <v>0.09182907408219998</v>
      </c>
    </row>
    <row r="41" spans="1:11" ht="11.25">
      <c r="A41" s="8">
        <f t="shared" si="6"/>
        <v>200</v>
      </c>
      <c r="B41" s="19">
        <f t="shared" si="5"/>
        <v>0.08592293489352107</v>
      </c>
      <c r="C41" s="17">
        <f t="shared" si="5"/>
        <v>0.08663728086464516</v>
      </c>
      <c r="D41" s="17">
        <f t="shared" si="5"/>
        <v>0.08604310614500522</v>
      </c>
      <c r="E41" s="17">
        <f t="shared" si="5"/>
        <v>0.0872309069089627</v>
      </c>
      <c r="F41" s="17">
        <f t="shared" si="5"/>
        <v>0.07945179055940144</v>
      </c>
      <c r="G41" s="17">
        <f t="shared" si="5"/>
        <v>0.06208195495381955</v>
      </c>
      <c r="H41" s="17">
        <f t="shared" si="5"/>
        <v>0.0927958016569979</v>
      </c>
      <c r="I41" s="17">
        <f t="shared" si="5"/>
        <v>0.1198391484554101</v>
      </c>
      <c r="J41" s="17">
        <f t="shared" si="5"/>
        <v>0.08056789375503018</v>
      </c>
      <c r="K41" s="17">
        <f t="shared" si="5"/>
        <v>0.08607620416909324</v>
      </c>
    </row>
    <row r="42" spans="1:11" ht="11.25">
      <c r="A42" s="8">
        <f t="shared" si="6"/>
        <v>225</v>
      </c>
      <c r="B42" s="19">
        <f t="shared" si="5"/>
        <v>0.08109006305883072</v>
      </c>
      <c r="C42" s="17">
        <f t="shared" si="5"/>
        <v>0.08181432312965445</v>
      </c>
      <c r="D42" s="17">
        <f t="shared" si="5"/>
        <v>0.08123504371521924</v>
      </c>
      <c r="E42" s="17">
        <f t="shared" si="5"/>
        <v>0.08239333952774056</v>
      </c>
      <c r="F42" s="17">
        <f t="shared" si="5"/>
        <v>0.07523413913892528</v>
      </c>
      <c r="G42" s="17">
        <f t="shared" si="5"/>
        <v>0.05826111997759518</v>
      </c>
      <c r="H42" s="17">
        <f t="shared" si="5"/>
        <v>0.08796505893905116</v>
      </c>
      <c r="I42" s="17">
        <f t="shared" si="5"/>
        <v>0.1139369298509039</v>
      </c>
      <c r="J42" s="17">
        <f t="shared" si="5"/>
        <v>0.07528676188135161</v>
      </c>
      <c r="K42" s="17">
        <f t="shared" si="5"/>
        <v>0.08130171557519461</v>
      </c>
    </row>
    <row r="43" spans="1:11" ht="11.25">
      <c r="A43" s="8">
        <f t="shared" si="6"/>
        <v>250</v>
      </c>
      <c r="B43" s="19">
        <f t="shared" si="5"/>
        <v>0.07699771400377997</v>
      </c>
      <c r="C43" s="17">
        <f t="shared" si="5"/>
        <v>0.07772799658626096</v>
      </c>
      <c r="D43" s="17">
        <f t="shared" si="5"/>
        <v>0.07716220180225379</v>
      </c>
      <c r="E43" s="17">
        <f t="shared" si="5"/>
        <v>0.07829376489768833</v>
      </c>
      <c r="F43" s="17">
        <f t="shared" si="5"/>
        <v>0.07165139695754107</v>
      </c>
      <c r="G43" s="17">
        <f t="shared" si="5"/>
        <v>0.055042964281593595</v>
      </c>
      <c r="H43" s="17">
        <f t="shared" si="5"/>
        <v>0.08385729961055338</v>
      </c>
      <c r="I43" s="17">
        <f t="shared" si="5"/>
        <v>0.10890396722543368</v>
      </c>
      <c r="J43" s="17">
        <f t="shared" si="5"/>
        <v>0.07085664854806896</v>
      </c>
      <c r="K43" s="17">
        <f t="shared" si="5"/>
        <v>0.07725564196687512</v>
      </c>
    </row>
    <row r="44" spans="1:11" ht="11.25">
      <c r="A44" s="8">
        <f>A43+250</f>
        <v>500</v>
      </c>
      <c r="B44" s="19">
        <f t="shared" si="5"/>
        <v>0.054767332498110124</v>
      </c>
      <c r="C44" s="17">
        <f t="shared" si="5"/>
        <v>0.05548640495579688</v>
      </c>
      <c r="D44" s="17">
        <f t="shared" si="5"/>
        <v>0.055010015553172156</v>
      </c>
      <c r="E44" s="17">
        <f t="shared" si="5"/>
        <v>0.05596393551582469</v>
      </c>
      <c r="F44" s="17">
        <f t="shared" si="5"/>
        <v>0.051977773355401054</v>
      </c>
      <c r="G44" s="17">
        <f t="shared" si="5"/>
        <v>0.037875322345258935</v>
      </c>
      <c r="H44" s="17">
        <f t="shared" si="5"/>
        <v>0.061221414277230324</v>
      </c>
      <c r="I44" s="17">
        <f t="shared" si="5"/>
        <v>0.08090251798473413</v>
      </c>
      <c r="J44" s="17">
        <f t="shared" si="5"/>
        <v>0.04754531633635846</v>
      </c>
      <c r="K44" s="17">
        <f t="shared" si="5"/>
        <v>0.05521806362303085</v>
      </c>
    </row>
    <row r="45" spans="1:11" ht="11.25">
      <c r="A45" s="8">
        <f>A44+250</f>
        <v>750</v>
      </c>
      <c r="B45" s="19">
        <f t="shared" si="5"/>
        <v>0.04487172184220456</v>
      </c>
      <c r="C45" s="17">
        <f t="shared" si="5"/>
        <v>0.045556820676378396</v>
      </c>
      <c r="D45" s="17">
        <f t="shared" si="5"/>
        <v>0.045130902157877344</v>
      </c>
      <c r="E45" s="17">
        <f t="shared" si="5"/>
        <v>0.04598430654702611</v>
      </c>
      <c r="F45" s="17">
        <f t="shared" si="5"/>
        <v>0.04307941617857089</v>
      </c>
      <c r="G45" s="17">
        <f t="shared" si="5"/>
        <v>0.030436192460895916</v>
      </c>
      <c r="H45" s="17">
        <f t="shared" si="5"/>
        <v>0.050930218049070344</v>
      </c>
      <c r="I45" s="17">
        <f t="shared" si="5"/>
        <v>0.06799141926130667</v>
      </c>
      <c r="J45" s="17">
        <f t="shared" si="5"/>
        <v>0.03764866773712871</v>
      </c>
      <c r="K45" s="17">
        <f t="shared" si="5"/>
        <v>0.04536960077956838</v>
      </c>
    </row>
    <row r="46" spans="1:11" ht="11.25">
      <c r="A46" s="8">
        <f>A45+250</f>
        <v>1000</v>
      </c>
      <c r="B46" s="21">
        <f t="shared" si="5"/>
        <v>0.03895519169324039</v>
      </c>
      <c r="C46" s="22">
        <f t="shared" si="5"/>
        <v>0.039609166196660626</v>
      </c>
      <c r="D46" s="22">
        <f t="shared" si="5"/>
        <v>0.039217411381227</v>
      </c>
      <c r="E46" s="22">
        <f t="shared" si="5"/>
        <v>0.040002701141171645</v>
      </c>
      <c r="F46" s="22">
        <f t="shared" si="5"/>
        <v>0.03770601883151559</v>
      </c>
      <c r="G46" s="22">
        <f t="shared" si="5"/>
        <v>0.026062187265539095</v>
      </c>
      <c r="H46" s="22">
        <f t="shared" si="5"/>
        <v>0.04469571025433515</v>
      </c>
      <c r="I46" s="22">
        <f t="shared" si="5"/>
        <v>0.060100817105418015</v>
      </c>
      <c r="J46" s="22">
        <f t="shared" si="5"/>
        <v>0.03190324622806337</v>
      </c>
      <c r="K46" s="22">
        <f t="shared" si="5"/>
        <v>0.039466820450271056</v>
      </c>
    </row>
    <row r="47" spans="1:11" ht="11.25">
      <c r="A47" s="112" t="s">
        <v>108</v>
      </c>
      <c r="B47" s="113">
        <v>3889.7475114776507</v>
      </c>
      <c r="C47" s="115">
        <v>15123.85448851259</v>
      </c>
      <c r="D47" s="113">
        <v>7631.92400765066</v>
      </c>
      <c r="E47" s="116">
        <v>7491.930480861931</v>
      </c>
      <c r="F47" s="115">
        <v>2725.43148308997</v>
      </c>
      <c r="G47" s="113">
        <v>3811.16499999793</v>
      </c>
      <c r="H47" s="113">
        <v>8462.1197603586</v>
      </c>
      <c r="I47" s="116">
        <v>6045.15797635666</v>
      </c>
      <c r="J47" s="115">
        <v>10257.41009768855</v>
      </c>
      <c r="K47" s="113">
        <v>8756.191902301689</v>
      </c>
    </row>
    <row r="48" spans="1:11" ht="22.5">
      <c r="A48" s="23" t="s">
        <v>15</v>
      </c>
      <c r="B48" s="127" t="s">
        <v>16</v>
      </c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ht="12.75">
      <c r="A49" s="24">
        <v>0.5</v>
      </c>
      <c r="B49" s="25">
        <f aca="true" t="shared" si="7" ref="B49:K50">EXP(LN($A49/B$52)/B$53)</f>
        <v>5557.163660414222</v>
      </c>
      <c r="C49" s="26">
        <f t="shared" si="7"/>
        <v>5440.10177062062</v>
      </c>
      <c r="D49" s="26">
        <f t="shared" si="7"/>
        <v>5439.731542654386</v>
      </c>
      <c r="E49" s="26">
        <f t="shared" si="7"/>
        <v>5439.876040339511</v>
      </c>
      <c r="F49" s="26">
        <f t="shared" si="7"/>
        <v>3766.9457591969262</v>
      </c>
      <c r="G49" s="26">
        <f t="shared" si="7"/>
        <v>4178.938031716892</v>
      </c>
      <c r="H49" s="26">
        <f t="shared" si="7"/>
        <v>4892.941625332561</v>
      </c>
      <c r="I49" s="26">
        <f t="shared" si="7"/>
        <v>7149.383470187344</v>
      </c>
      <c r="J49" s="26">
        <f t="shared" si="7"/>
        <v>8388.237699452213</v>
      </c>
      <c r="K49" s="26">
        <f t="shared" si="7"/>
        <v>5296.235110829406</v>
      </c>
    </row>
    <row r="50" spans="1:11" ht="12.75">
      <c r="A50" s="27">
        <v>0.25</v>
      </c>
      <c r="B50" s="28">
        <f t="shared" si="7"/>
        <v>22768.01677351994</v>
      </c>
      <c r="C50" s="29">
        <f t="shared" si="7"/>
        <v>22627.06350568981</v>
      </c>
      <c r="D50" s="29">
        <f t="shared" si="7"/>
        <v>22500.361858022836</v>
      </c>
      <c r="E50" s="29">
        <f t="shared" si="7"/>
        <v>22752.976067929503</v>
      </c>
      <c r="F50" s="29">
        <f t="shared" si="7"/>
        <v>16827.58325144084</v>
      </c>
      <c r="G50" s="29">
        <f t="shared" si="7"/>
        <v>15109.582392765666</v>
      </c>
      <c r="H50" s="29">
        <f t="shared" si="7"/>
        <v>22530.86056789521</v>
      </c>
      <c r="I50" s="29">
        <f t="shared" si="7"/>
        <v>35999.58544560263</v>
      </c>
      <c r="J50" s="29">
        <f t="shared" si="7"/>
        <v>27967.615013688333</v>
      </c>
      <c r="K50" s="29">
        <f t="shared" si="7"/>
        <v>22145.638002963988</v>
      </c>
    </row>
    <row r="51" spans="2:11" ht="12.75">
      <c r="B51" s="123" t="s">
        <v>17</v>
      </c>
      <c r="C51" s="124"/>
      <c r="D51" s="124"/>
      <c r="E51" s="124"/>
      <c r="F51" s="124"/>
      <c r="G51" s="124"/>
      <c r="H51" s="124"/>
      <c r="I51" s="124"/>
      <c r="J51" s="124"/>
      <c r="K51" s="124"/>
    </row>
    <row r="52" spans="2:11" ht="12.75">
      <c r="B52" s="30">
        <v>34.639</v>
      </c>
      <c r="C52" s="31">
        <v>32.779</v>
      </c>
      <c r="D52" s="31">
        <v>33.318</v>
      </c>
      <c r="E52" s="31">
        <v>32.247</v>
      </c>
      <c r="F52" s="30">
        <v>22.647</v>
      </c>
      <c r="G52" s="31">
        <v>44.855</v>
      </c>
      <c r="H52" s="31">
        <v>23.641</v>
      </c>
      <c r="I52" s="31">
        <v>22.474</v>
      </c>
      <c r="J52" s="31">
        <v>90.664</v>
      </c>
      <c r="K52" s="31">
        <v>31.859</v>
      </c>
    </row>
    <row r="53" spans="2:11" ht="22.5" customHeight="1">
      <c r="B53" s="30">
        <v>-0.4915</v>
      </c>
      <c r="C53" s="31">
        <v>-0.4863</v>
      </c>
      <c r="D53" s="31">
        <v>-0.4882</v>
      </c>
      <c r="E53" s="31">
        <v>-0.4844</v>
      </c>
      <c r="F53" s="30">
        <v>-0.4631</v>
      </c>
      <c r="G53" s="31">
        <v>-0.5393</v>
      </c>
      <c r="H53" s="31">
        <v>-0.4539</v>
      </c>
      <c r="I53" s="31">
        <v>-0.4288</v>
      </c>
      <c r="J53" s="31">
        <v>-0.5756</v>
      </c>
      <c r="K53" s="31">
        <v>-0.4845</v>
      </c>
    </row>
    <row r="54" spans="1:11" ht="12.75" customHeight="1">
      <c r="A54" s="23" t="s">
        <v>18</v>
      </c>
      <c r="B54" s="117" t="s">
        <v>110</v>
      </c>
      <c r="C54" s="117" t="s">
        <v>111</v>
      </c>
      <c r="D54" s="117" t="s">
        <v>112</v>
      </c>
      <c r="E54" s="117" t="s">
        <v>113</v>
      </c>
      <c r="F54" s="117" t="s">
        <v>114</v>
      </c>
      <c r="G54" s="117" t="s">
        <v>115</v>
      </c>
      <c r="H54" s="117" t="s">
        <v>116</v>
      </c>
      <c r="I54" s="117" t="s">
        <v>117</v>
      </c>
      <c r="J54" s="117" t="s">
        <v>118</v>
      </c>
      <c r="K54" s="117" t="s">
        <v>119</v>
      </c>
    </row>
    <row r="55" spans="1:11" ht="12.75" customHeight="1">
      <c r="A55" s="35" t="s">
        <v>33</v>
      </c>
      <c r="B55" s="14">
        <v>0.7875</v>
      </c>
      <c r="C55" s="36">
        <v>0.8494</v>
      </c>
      <c r="D55" s="37">
        <v>0.8486</v>
      </c>
      <c r="E55" s="37">
        <v>0.8502</v>
      </c>
      <c r="F55" s="37">
        <v>0.8198</v>
      </c>
      <c r="G55" s="37">
        <v>0.8492</v>
      </c>
      <c r="H55" s="37">
        <v>0.8151</v>
      </c>
      <c r="I55" s="37">
        <v>0.797</v>
      </c>
      <c r="J55" s="37">
        <v>0.8898</v>
      </c>
      <c r="K55" s="37">
        <v>0.8002</v>
      </c>
    </row>
    <row r="56" spans="1:11" ht="12.75" customHeight="1">
      <c r="A56" s="38" t="s">
        <v>19</v>
      </c>
      <c r="B56" s="39">
        <f>416-1</f>
        <v>415</v>
      </c>
      <c r="C56" s="40">
        <f>965-416</f>
        <v>549</v>
      </c>
      <c r="D56" s="40">
        <f>704-416</f>
        <v>288</v>
      </c>
      <c r="E56" s="40">
        <f>965-704</f>
        <v>261</v>
      </c>
      <c r="F56" s="40">
        <f>1423-1296</f>
        <v>127</v>
      </c>
      <c r="G56" s="40">
        <f>322-192</f>
        <v>130</v>
      </c>
      <c r="H56" s="40">
        <f>497-322</f>
        <v>175</v>
      </c>
      <c r="I56" s="40">
        <f>965-497</f>
        <v>468</v>
      </c>
      <c r="J56" s="40">
        <f>148-1</f>
        <v>147</v>
      </c>
      <c r="K56" s="40">
        <f>965-148</f>
        <v>817</v>
      </c>
    </row>
    <row r="57" spans="1:11" ht="12.7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2.7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ht="10.5">
      <c r="A59" s="43" t="s">
        <v>20</v>
      </c>
    </row>
    <row r="60" spans="1:11" ht="12.75">
      <c r="A60" s="132" t="s">
        <v>21</v>
      </c>
      <c r="B60" s="130" t="s">
        <v>96</v>
      </c>
      <c r="C60" s="134" t="s">
        <v>97</v>
      </c>
      <c r="D60" s="135"/>
      <c r="E60" s="136"/>
      <c r="F60" s="137" t="s">
        <v>98</v>
      </c>
      <c r="G60" s="126"/>
      <c r="H60" s="126"/>
      <c r="I60" s="126"/>
      <c r="J60" s="126"/>
      <c r="K60" s="126"/>
    </row>
    <row r="61" spans="1:11" ht="33.75">
      <c r="A61" s="132"/>
      <c r="B61" s="131"/>
      <c r="C61" s="109" t="s">
        <v>99</v>
      </c>
      <c r="D61" s="110" t="s">
        <v>100</v>
      </c>
      <c r="E61" s="111" t="s">
        <v>101</v>
      </c>
      <c r="F61" s="110" t="s">
        <v>102</v>
      </c>
      <c r="G61" s="110" t="s">
        <v>103</v>
      </c>
      <c r="H61" s="110" t="s">
        <v>104</v>
      </c>
      <c r="I61" s="110" t="s">
        <v>105</v>
      </c>
      <c r="J61" s="109" t="s">
        <v>106</v>
      </c>
      <c r="K61" s="110" t="s">
        <v>107</v>
      </c>
    </row>
    <row r="62" spans="1:11" ht="13.5" thickBot="1">
      <c r="A62" s="133"/>
      <c r="B62" s="138" t="s">
        <v>14</v>
      </c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" thickBot="1">
      <c r="A63" s="47">
        <v>7500</v>
      </c>
      <c r="B63" s="48">
        <f aca="true" t="shared" si="8" ref="B63:K63">B$52*($A63)^B$53</f>
        <v>0.4314919867568037</v>
      </c>
      <c r="C63" s="49">
        <f t="shared" si="8"/>
        <v>0.42771394287711534</v>
      </c>
      <c r="D63" s="49">
        <f t="shared" si="8"/>
        <v>0.4274388719840511</v>
      </c>
      <c r="E63" s="49">
        <f t="shared" si="8"/>
        <v>0.42796636855487297</v>
      </c>
      <c r="F63" s="49">
        <f t="shared" si="8"/>
        <v>0.36347103613791176</v>
      </c>
      <c r="G63" s="49">
        <f t="shared" si="8"/>
        <v>0.3647458184048529</v>
      </c>
      <c r="H63" s="49">
        <f t="shared" si="8"/>
        <v>0.4118845821357577</v>
      </c>
      <c r="I63" s="49">
        <f t="shared" si="8"/>
        <v>0.48983984249789303</v>
      </c>
      <c r="J63" s="49">
        <f t="shared" si="8"/>
        <v>0.5332730208221197</v>
      </c>
      <c r="K63" s="49">
        <f t="shared" si="8"/>
        <v>0.4224399259268753</v>
      </c>
    </row>
    <row r="65" ht="10.5">
      <c r="A65" s="4" t="s">
        <v>109</v>
      </c>
    </row>
  </sheetData>
  <mergeCells count="14">
    <mergeCell ref="A60:A62"/>
    <mergeCell ref="C4:E4"/>
    <mergeCell ref="F4:K4"/>
    <mergeCell ref="B60:B61"/>
    <mergeCell ref="C60:E60"/>
    <mergeCell ref="F60:K60"/>
    <mergeCell ref="B62:K62"/>
    <mergeCell ref="A3:A5"/>
    <mergeCell ref="B2:K2"/>
    <mergeCell ref="B51:K51"/>
    <mergeCell ref="B6:K6"/>
    <mergeCell ref="B48:K48"/>
    <mergeCell ref="B3:K3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B46" sqref="B46:G46"/>
    </sheetView>
  </sheetViews>
  <sheetFormatPr defaultColWidth="9.140625" defaultRowHeight="12.75"/>
  <cols>
    <col min="1" max="1" width="9.8515625" style="4" customWidth="1"/>
    <col min="2" max="2" width="13.57421875" style="44" customWidth="1"/>
    <col min="3" max="7" width="13.57421875" style="45" customWidth="1"/>
    <col min="8" max="16384" width="9.140625" style="4" customWidth="1"/>
  </cols>
  <sheetData>
    <row r="1" spans="1:7" ht="12.75">
      <c r="A1" s="1" t="s">
        <v>50</v>
      </c>
      <c r="B1" s="2"/>
      <c r="C1" s="3"/>
      <c r="D1" s="3"/>
      <c r="E1" s="3"/>
      <c r="F1" s="3"/>
      <c r="G1" s="3"/>
    </row>
    <row r="2" spans="1:7" ht="15" customHeight="1">
      <c r="A2" s="146" t="s">
        <v>34</v>
      </c>
      <c r="B2" s="122" t="s">
        <v>2</v>
      </c>
      <c r="C2" s="122"/>
      <c r="D2" s="122"/>
      <c r="E2" s="122"/>
      <c r="F2" s="122"/>
      <c r="G2" s="122"/>
    </row>
    <row r="3" spans="1:7" ht="12.75" customHeight="1">
      <c r="A3" s="146"/>
      <c r="B3" s="128" t="s">
        <v>35</v>
      </c>
      <c r="C3" s="128"/>
      <c r="D3" s="128"/>
      <c r="E3" s="128"/>
      <c r="F3" s="128"/>
      <c r="G3" s="128"/>
    </row>
    <row r="4" spans="1:7" ht="33.75">
      <c r="A4" s="147"/>
      <c r="B4" s="50" t="s">
        <v>36</v>
      </c>
      <c r="C4" s="51" t="s">
        <v>37</v>
      </c>
      <c r="D4" s="51" t="s">
        <v>38</v>
      </c>
      <c r="E4" s="51" t="s">
        <v>39</v>
      </c>
      <c r="F4" s="51" t="s">
        <v>40</v>
      </c>
      <c r="G4" s="51" t="s">
        <v>41</v>
      </c>
    </row>
    <row r="5" spans="1:7" ht="12.75">
      <c r="A5" s="7"/>
      <c r="B5" s="125" t="s">
        <v>14</v>
      </c>
      <c r="C5" s="126"/>
      <c r="D5" s="126"/>
      <c r="E5" s="126"/>
      <c r="F5" s="126"/>
      <c r="G5" s="126"/>
    </row>
    <row r="6" spans="1:7" ht="11.25">
      <c r="A6" s="8">
        <v>2.5</v>
      </c>
      <c r="B6" s="52">
        <f aca="true" t="shared" si="0" ref="B6:G15">B$47*($A6*10^3)^B$48</f>
        <v>0.7266234209938525</v>
      </c>
      <c r="C6" s="53">
        <f t="shared" si="0"/>
        <v>0.7164627292437387</v>
      </c>
      <c r="D6" s="53">
        <f t="shared" si="0"/>
        <v>0.7385046018332546</v>
      </c>
      <c r="E6" s="53">
        <f t="shared" si="0"/>
        <v>0.6916164825291482</v>
      </c>
      <c r="F6" s="53">
        <f t="shared" si="0"/>
        <v>0.7475725503484638</v>
      </c>
      <c r="G6" s="54">
        <f t="shared" si="0"/>
        <v>0.7144224699701789</v>
      </c>
    </row>
    <row r="7" spans="1:7" ht="11.25">
      <c r="A7" s="8">
        <f>A6+0.5</f>
        <v>3</v>
      </c>
      <c r="B7" s="9">
        <f t="shared" si="0"/>
        <v>0.6647177434492116</v>
      </c>
      <c r="C7" s="10">
        <f t="shared" si="0"/>
        <v>0.6550165395123974</v>
      </c>
      <c r="D7" s="10">
        <f t="shared" si="0"/>
        <v>0.675943989913814</v>
      </c>
      <c r="E7" s="10">
        <f t="shared" si="0"/>
        <v>0.634113710715044</v>
      </c>
      <c r="F7" s="10">
        <f t="shared" si="0"/>
        <v>0.6876454621012638</v>
      </c>
      <c r="G7" s="55">
        <f t="shared" si="0"/>
        <v>0.6485234734599437</v>
      </c>
    </row>
    <row r="8" spans="1:7" ht="11.25">
      <c r="A8" s="8">
        <f>A7+0.5</f>
        <v>3.5</v>
      </c>
      <c r="B8" s="9">
        <f t="shared" si="0"/>
        <v>0.6165104744117187</v>
      </c>
      <c r="C8" s="10">
        <f t="shared" si="0"/>
        <v>0.6071945085444315</v>
      </c>
      <c r="D8" s="10">
        <f t="shared" si="0"/>
        <v>0.6272028809625564</v>
      </c>
      <c r="E8" s="10">
        <f t="shared" si="0"/>
        <v>0.5892421113584028</v>
      </c>
      <c r="F8" s="10">
        <f t="shared" si="0"/>
        <v>0.6407415207484946</v>
      </c>
      <c r="G8" s="55">
        <f t="shared" si="0"/>
        <v>0.597572143511102</v>
      </c>
    </row>
    <row r="9" spans="1:7" ht="11.25">
      <c r="A9" s="8">
        <f>A8+0.5</f>
        <v>4</v>
      </c>
      <c r="B9" s="9">
        <f t="shared" si="0"/>
        <v>0.5775867112219185</v>
      </c>
      <c r="C9" s="10">
        <f t="shared" si="0"/>
        <v>0.5686007073568795</v>
      </c>
      <c r="D9" s="10">
        <f t="shared" si="0"/>
        <v>0.5878316346560921</v>
      </c>
      <c r="E9" s="10">
        <f t="shared" si="0"/>
        <v>0.5529473881908642</v>
      </c>
      <c r="F9" s="10">
        <f t="shared" si="0"/>
        <v>0.6027055051503012</v>
      </c>
      <c r="G9" s="55">
        <f t="shared" si="0"/>
        <v>0.5566833328743738</v>
      </c>
    </row>
    <row r="10" spans="1:7" ht="11.25">
      <c r="A10" s="8">
        <f>A9+0.5</f>
        <v>4.5</v>
      </c>
      <c r="B10" s="9">
        <f t="shared" si="0"/>
        <v>0.5452984970898898</v>
      </c>
      <c r="C10" s="10">
        <f t="shared" si="0"/>
        <v>0.5365998971452153</v>
      </c>
      <c r="D10" s="10">
        <f t="shared" si="0"/>
        <v>0.5551603036609738</v>
      </c>
      <c r="E10" s="11">
        <f t="shared" si="0"/>
        <v>0.5227933986852398</v>
      </c>
      <c r="F10" s="10">
        <f t="shared" si="0"/>
        <v>0.5710339867582992</v>
      </c>
      <c r="G10" s="56">
        <f t="shared" si="0"/>
        <v>0.5229455356279128</v>
      </c>
    </row>
    <row r="11" spans="1:7" ht="11.25">
      <c r="A11" s="8">
        <v>5</v>
      </c>
      <c r="B11" s="12">
        <f t="shared" si="0"/>
        <v>0.5179482169398505</v>
      </c>
      <c r="C11" s="11">
        <f t="shared" si="0"/>
        <v>0.5095033586602993</v>
      </c>
      <c r="D11" s="11">
        <f t="shared" si="0"/>
        <v>0.527476532977831</v>
      </c>
      <c r="E11" s="13">
        <f t="shared" si="0"/>
        <v>0.49721583790379614</v>
      </c>
      <c r="F11" s="10">
        <f t="shared" si="0"/>
        <v>0.5441157527581936</v>
      </c>
      <c r="G11" s="57">
        <f t="shared" si="0"/>
        <v>0.49450237730924834</v>
      </c>
    </row>
    <row r="12" spans="1:7" ht="11.25">
      <c r="A12" s="8">
        <f aca="true" t="shared" si="1" ref="A12:A25">A11+1</f>
        <v>6</v>
      </c>
      <c r="B12" s="14">
        <f t="shared" si="0"/>
        <v>0.473820909208916</v>
      </c>
      <c r="C12" s="13">
        <f t="shared" si="0"/>
        <v>0.46580668224275246</v>
      </c>
      <c r="D12" s="13">
        <f t="shared" si="0"/>
        <v>0.4827926480103969</v>
      </c>
      <c r="E12" s="13">
        <f t="shared" si="0"/>
        <v>0.45587603529413884</v>
      </c>
      <c r="F12" s="11">
        <f t="shared" si="0"/>
        <v>0.5004982166180121</v>
      </c>
      <c r="G12" s="57">
        <f t="shared" si="0"/>
        <v>0.44888901573907664</v>
      </c>
    </row>
    <row r="13" spans="1:7" ht="11.25">
      <c r="A13" s="8">
        <f t="shared" si="1"/>
        <v>7</v>
      </c>
      <c r="B13" s="14">
        <f t="shared" si="0"/>
        <v>0.4394580352358234</v>
      </c>
      <c r="C13" s="13">
        <f t="shared" si="0"/>
        <v>0.43179865307164045</v>
      </c>
      <c r="D13" s="13">
        <f t="shared" si="0"/>
        <v>0.44797933594804473</v>
      </c>
      <c r="E13" s="13">
        <f t="shared" si="0"/>
        <v>0.4236170153954113</v>
      </c>
      <c r="F13" s="13">
        <f t="shared" si="0"/>
        <v>0.46635949209610195</v>
      </c>
      <c r="G13" s="57">
        <f t="shared" si="0"/>
        <v>0.41362199258984417</v>
      </c>
    </row>
    <row r="14" spans="1:7" ht="11.25">
      <c r="A14" s="8">
        <f t="shared" si="1"/>
        <v>8</v>
      </c>
      <c r="B14" s="14">
        <f t="shared" si="0"/>
        <v>0.4117125853118848</v>
      </c>
      <c r="C14" s="13">
        <f t="shared" si="0"/>
        <v>0.4043531621536673</v>
      </c>
      <c r="D14" s="13">
        <f t="shared" si="0"/>
        <v>0.4198584434726328</v>
      </c>
      <c r="E14" s="13">
        <f t="shared" si="0"/>
        <v>0.397524069887171</v>
      </c>
      <c r="F14" s="13">
        <f t="shared" si="0"/>
        <v>0.43867522887711835</v>
      </c>
      <c r="G14" s="57">
        <f t="shared" si="0"/>
        <v>0.38531995154954274</v>
      </c>
    </row>
    <row r="15" spans="1:7" ht="11.25">
      <c r="A15" s="8">
        <f t="shared" si="1"/>
        <v>9</v>
      </c>
      <c r="B15" s="14">
        <f t="shared" si="0"/>
        <v>0.388697055596393</v>
      </c>
      <c r="C15" s="13">
        <f t="shared" si="0"/>
        <v>0.38159619292526936</v>
      </c>
      <c r="D15" s="13">
        <f t="shared" si="0"/>
        <v>0.39652296207103244</v>
      </c>
      <c r="E15" s="13">
        <f t="shared" si="0"/>
        <v>0.37584581100104114</v>
      </c>
      <c r="F15" s="13">
        <f t="shared" si="0"/>
        <v>0.4156233229947711</v>
      </c>
      <c r="G15" s="57">
        <f t="shared" si="0"/>
        <v>0.36196763321575753</v>
      </c>
    </row>
    <row r="16" spans="1:7" ht="11.25">
      <c r="A16" s="8">
        <f t="shared" si="1"/>
        <v>10</v>
      </c>
      <c r="B16" s="14">
        <f aca="true" t="shared" si="2" ref="B16:G25">B$47*($A16*10^3)^B$48</f>
        <v>0.36920136026476896</v>
      </c>
      <c r="C16" s="13">
        <f t="shared" si="2"/>
        <v>0.3623268341678285</v>
      </c>
      <c r="D16" s="13">
        <f t="shared" si="2"/>
        <v>0.376749843063448</v>
      </c>
      <c r="E16" s="13">
        <f t="shared" si="2"/>
        <v>0.3574576310823464</v>
      </c>
      <c r="F16" s="13">
        <f t="shared" si="2"/>
        <v>0.3960310638233217</v>
      </c>
      <c r="G16" s="57">
        <f t="shared" si="2"/>
        <v>0.3422801093794066</v>
      </c>
    </row>
    <row r="17" spans="1:7" ht="11.25">
      <c r="A17" s="8">
        <f t="shared" si="1"/>
        <v>11</v>
      </c>
      <c r="B17" s="14">
        <f t="shared" si="2"/>
        <v>0.35240909242525376</v>
      </c>
      <c r="C17" s="13">
        <f t="shared" si="2"/>
        <v>0.3457351829731514</v>
      </c>
      <c r="D17" s="13">
        <f t="shared" si="2"/>
        <v>0.3597136609303175</v>
      </c>
      <c r="E17" s="13">
        <f t="shared" si="2"/>
        <v>0.34159972744991696</v>
      </c>
      <c r="F17" s="13">
        <f t="shared" si="2"/>
        <v>0.3791045394651967</v>
      </c>
      <c r="G17" s="57">
        <f t="shared" si="2"/>
        <v>0.32539466247045684</v>
      </c>
    </row>
    <row r="18" spans="1:7" ht="11.25">
      <c r="A18" s="8">
        <f t="shared" si="1"/>
        <v>12</v>
      </c>
      <c r="B18" s="14">
        <f t="shared" si="2"/>
        <v>0.3377467447139352</v>
      </c>
      <c r="C18" s="13">
        <f t="shared" si="2"/>
        <v>0.33125249842320054</v>
      </c>
      <c r="D18" s="13">
        <f t="shared" si="2"/>
        <v>0.34483440115002834</v>
      </c>
      <c r="E18" s="13">
        <f t="shared" si="2"/>
        <v>0.3277376849668748</v>
      </c>
      <c r="F18" s="13">
        <f t="shared" si="2"/>
        <v>0.3642843276713455</v>
      </c>
      <c r="G18" s="57">
        <f t="shared" si="2"/>
        <v>0.31070787210856876</v>
      </c>
    </row>
    <row r="19" spans="1:7" ht="11.25">
      <c r="A19" s="8">
        <f t="shared" si="1"/>
        <v>13</v>
      </c>
      <c r="B19" s="14">
        <f t="shared" si="2"/>
        <v>0.3247980096076347</v>
      </c>
      <c r="C19" s="13">
        <f t="shared" si="2"/>
        <v>0.31846606277802414</v>
      </c>
      <c r="D19" s="13">
        <f t="shared" si="2"/>
        <v>0.3316909197044375</v>
      </c>
      <c r="E19" s="13">
        <f t="shared" si="2"/>
        <v>0.315483131411005</v>
      </c>
      <c r="F19" s="13">
        <f t="shared" si="2"/>
        <v>0.35116321302782455</v>
      </c>
      <c r="G19" s="57">
        <f t="shared" si="2"/>
        <v>0.2977834318462076</v>
      </c>
    </row>
    <row r="20" spans="1:7" ht="11.25">
      <c r="A20" s="8">
        <f t="shared" si="1"/>
        <v>14</v>
      </c>
      <c r="B20" s="14">
        <f t="shared" si="2"/>
        <v>0.3132523659352435</v>
      </c>
      <c r="C20" s="13">
        <f t="shared" si="2"/>
        <v>0.3070681209575524</v>
      </c>
      <c r="D20" s="13">
        <f t="shared" si="2"/>
        <v>0.319969010870076</v>
      </c>
      <c r="E20" s="13">
        <f t="shared" si="2"/>
        <v>0.3045460809289749</v>
      </c>
      <c r="F20" s="13">
        <f t="shared" si="2"/>
        <v>0.3394366820712154</v>
      </c>
      <c r="G20" s="57">
        <f t="shared" si="2"/>
        <v>0.2862970682481534</v>
      </c>
    </row>
    <row r="21" spans="1:7" ht="11.25">
      <c r="A21" s="8">
        <f t="shared" si="1"/>
        <v>15</v>
      </c>
      <c r="B21" s="14">
        <f t="shared" si="2"/>
        <v>0.3028728341615334</v>
      </c>
      <c r="C21" s="13">
        <f t="shared" si="2"/>
        <v>0.29682386660364424</v>
      </c>
      <c r="D21" s="13">
        <f t="shared" si="2"/>
        <v>0.30942882901584323</v>
      </c>
      <c r="E21" s="13">
        <f t="shared" si="2"/>
        <v>0.2947050137565827</v>
      </c>
      <c r="F21" s="13">
        <f t="shared" si="2"/>
        <v>0.3288717947241527</v>
      </c>
      <c r="G21" s="57">
        <f t="shared" si="2"/>
        <v>0.276002122450931</v>
      </c>
    </row>
    <row r="22" spans="1:7" ht="11.25">
      <c r="A22" s="8">
        <f t="shared" si="1"/>
        <v>16</v>
      </c>
      <c r="B22" s="14">
        <f t="shared" si="2"/>
        <v>0.29347498758341156</v>
      </c>
      <c r="C22" s="13">
        <f t="shared" si="2"/>
        <v>0.28755060911496344</v>
      </c>
      <c r="D22" s="13">
        <f t="shared" si="2"/>
        <v>0.2998836778466241</v>
      </c>
      <c r="E22" s="13">
        <f t="shared" si="2"/>
        <v>0.2857873814300644</v>
      </c>
      <c r="F22" s="13">
        <f t="shared" si="2"/>
        <v>0.3192868735824854</v>
      </c>
      <c r="G22" s="57">
        <f t="shared" si="2"/>
        <v>0.26670722167219474</v>
      </c>
    </row>
    <row r="23" spans="1:7" ht="11.25">
      <c r="A23" s="8">
        <f t="shared" si="1"/>
        <v>17</v>
      </c>
      <c r="B23" s="14">
        <f t="shared" si="2"/>
        <v>0.28491285146124956</v>
      </c>
      <c r="C23" s="13">
        <f t="shared" si="2"/>
        <v>0.27910378096491556</v>
      </c>
      <c r="D23" s="13">
        <f t="shared" si="2"/>
        <v>0.29118575738932956</v>
      </c>
      <c r="E23" s="13">
        <f t="shared" si="2"/>
        <v>0.27765649781830115</v>
      </c>
      <c r="F23" s="13">
        <f t="shared" si="2"/>
        <v>0.310537828451488</v>
      </c>
      <c r="G23" s="57">
        <f t="shared" si="2"/>
        <v>0.25826132488460907</v>
      </c>
    </row>
    <row r="24" spans="1:7" ht="11.25">
      <c r="A24" s="8">
        <f t="shared" si="1"/>
        <v>18</v>
      </c>
      <c r="B24" s="14">
        <f t="shared" si="2"/>
        <v>0.2770691682364927</v>
      </c>
      <c r="C24" s="13">
        <f t="shared" si="2"/>
        <v>0.27136727984808495</v>
      </c>
      <c r="D24" s="13">
        <f t="shared" si="2"/>
        <v>0.2832163222275402</v>
      </c>
      <c r="E24" s="13">
        <f t="shared" si="2"/>
        <v>0.27020248152000736</v>
      </c>
      <c r="F24" s="13">
        <f t="shared" si="2"/>
        <v>0.3025086958446354</v>
      </c>
      <c r="G24" s="58">
        <f t="shared" si="2"/>
        <v>0.25054342865456875</v>
      </c>
    </row>
    <row r="25" spans="1:7" ht="11.25">
      <c r="A25" s="8">
        <f t="shared" si="1"/>
        <v>19</v>
      </c>
      <c r="B25" s="14">
        <f t="shared" si="2"/>
        <v>0.2698485158042843</v>
      </c>
      <c r="C25" s="13">
        <f t="shared" si="2"/>
        <v>0.26424664281571</v>
      </c>
      <c r="D25" s="13">
        <f t="shared" si="2"/>
        <v>0.27587872285875414</v>
      </c>
      <c r="E25" s="13">
        <f t="shared" si="2"/>
        <v>0.26333584782476754</v>
      </c>
      <c r="F25" s="13">
        <f t="shared" si="2"/>
        <v>0.29510493830211487</v>
      </c>
      <c r="G25" s="59">
        <f t="shared" si="2"/>
        <v>0.2434553096298484</v>
      </c>
    </row>
    <row r="26" spans="1:7" ht="11.25">
      <c r="A26" s="8">
        <f>A21+5</f>
        <v>20</v>
      </c>
      <c r="B26" s="16">
        <f aca="true" t="shared" si="3" ref="B26:G35">B$47*($A26*10^3)^B$48</f>
        <v>0.26317234032912157</v>
      </c>
      <c r="C26" s="15">
        <f t="shared" si="3"/>
        <v>0.2576641204157592</v>
      </c>
      <c r="D26" s="15">
        <f t="shared" si="3"/>
        <v>0.269093382120752</v>
      </c>
      <c r="E26" s="15">
        <f t="shared" si="3"/>
        <v>0.2569828800258887</v>
      </c>
      <c r="F26" s="13">
        <f t="shared" si="3"/>
        <v>0.28824859915925316</v>
      </c>
      <c r="G26" s="59">
        <f t="shared" si="3"/>
        <v>0.2369162994003415</v>
      </c>
    </row>
    <row r="27" spans="1:7" ht="11.25">
      <c r="A27" s="8">
        <f>A26+5</f>
        <v>25</v>
      </c>
      <c r="B27" s="19">
        <f t="shared" si="3"/>
        <v>0.2359985812917769</v>
      </c>
      <c r="C27" s="17">
        <f t="shared" si="3"/>
        <v>0.2308838752036293</v>
      </c>
      <c r="D27" s="17">
        <f t="shared" si="3"/>
        <v>0.24146445322115806</v>
      </c>
      <c r="E27" s="17">
        <f t="shared" si="3"/>
        <v>0.23108158343429544</v>
      </c>
      <c r="F27" s="15">
        <f t="shared" si="3"/>
        <v>0.260227594028562</v>
      </c>
      <c r="G27" s="59">
        <f t="shared" si="3"/>
        <v>0.2104529924972927</v>
      </c>
    </row>
    <row r="28" spans="1:7" ht="11.25">
      <c r="A28" s="8">
        <f>A27+5</f>
        <v>30</v>
      </c>
      <c r="B28" s="19">
        <f t="shared" si="3"/>
        <v>0.21589235893183842</v>
      </c>
      <c r="C28" s="17">
        <f t="shared" si="3"/>
        <v>0.21108251803234346</v>
      </c>
      <c r="D28" s="17">
        <f t="shared" si="3"/>
        <v>0.2210093823755472</v>
      </c>
      <c r="E28" s="17">
        <f t="shared" si="3"/>
        <v>0.21186886670714014</v>
      </c>
      <c r="F28" s="17">
        <f t="shared" si="3"/>
        <v>0.23936716786064405</v>
      </c>
      <c r="G28" s="59">
        <f t="shared" si="3"/>
        <v>0.19104061172667314</v>
      </c>
    </row>
    <row r="29" spans="1:7" ht="11.25">
      <c r="A29" s="8">
        <f>A28+5</f>
        <v>35</v>
      </c>
      <c r="B29" s="19">
        <f t="shared" si="3"/>
        <v>0.20023521553115045</v>
      </c>
      <c r="C29" s="17">
        <f t="shared" si="3"/>
        <v>0.19567161753561207</v>
      </c>
      <c r="D29" s="17">
        <f t="shared" si="3"/>
        <v>0.20507279214565258</v>
      </c>
      <c r="E29" s="17">
        <f t="shared" si="3"/>
        <v>0.1968764532923473</v>
      </c>
      <c r="F29" s="17">
        <f t="shared" si="3"/>
        <v>0.22304005713005562</v>
      </c>
      <c r="G29" s="59">
        <f t="shared" si="3"/>
        <v>0.17603148154086287</v>
      </c>
    </row>
    <row r="30" spans="1:7" ht="11.25">
      <c r="A30" s="8">
        <f>A29+5</f>
        <v>40</v>
      </c>
      <c r="B30" s="19">
        <f t="shared" si="3"/>
        <v>0.18759324360191423</v>
      </c>
      <c r="C30" s="17">
        <f t="shared" si="3"/>
        <v>0.18323456252449377</v>
      </c>
      <c r="D30" s="17">
        <f t="shared" si="3"/>
        <v>0.1921998101243809</v>
      </c>
      <c r="E30" s="17">
        <f t="shared" si="3"/>
        <v>0.18474972943349133</v>
      </c>
      <c r="F30" s="17">
        <f t="shared" si="3"/>
        <v>0.20979984275763502</v>
      </c>
      <c r="G30" s="59">
        <f t="shared" si="3"/>
        <v>0.1639865460582012</v>
      </c>
    </row>
    <row r="31" spans="1:7" ht="11.25">
      <c r="A31" s="8">
        <f aca="true" t="shared" si="4" ref="A31:A36">A30+10</f>
        <v>50</v>
      </c>
      <c r="B31" s="19">
        <f t="shared" si="3"/>
        <v>0.16822337520200065</v>
      </c>
      <c r="C31" s="17">
        <f t="shared" si="3"/>
        <v>0.16419013170569993</v>
      </c>
      <c r="D31" s="17">
        <f t="shared" si="3"/>
        <v>0.17246586183256055</v>
      </c>
      <c r="E31" s="17">
        <f t="shared" si="3"/>
        <v>0.16612880987343584</v>
      </c>
      <c r="F31" s="17">
        <f t="shared" si="3"/>
        <v>0.18940493888827767</v>
      </c>
      <c r="G31" s="59">
        <f t="shared" si="3"/>
        <v>0.14566941757319146</v>
      </c>
    </row>
    <row r="32" spans="1:7" ht="11.25">
      <c r="A32" s="8">
        <f t="shared" si="4"/>
        <v>60</v>
      </c>
      <c r="B32" s="19">
        <f t="shared" si="3"/>
        <v>0.15389135435070156</v>
      </c>
      <c r="C32" s="17">
        <f t="shared" si="3"/>
        <v>0.15010864836678064</v>
      </c>
      <c r="D32" s="17">
        <f t="shared" si="3"/>
        <v>0.15785583797532954</v>
      </c>
      <c r="E32" s="17">
        <f t="shared" si="3"/>
        <v>0.15231643366897163</v>
      </c>
      <c r="F32" s="17">
        <f t="shared" si="3"/>
        <v>0.1742218152142976</v>
      </c>
      <c r="G32" s="59">
        <f t="shared" si="3"/>
        <v>0.13223273431670807</v>
      </c>
    </row>
    <row r="33" spans="1:7" ht="11.25">
      <c r="A33" s="8">
        <f t="shared" si="4"/>
        <v>70</v>
      </c>
      <c r="B33" s="19">
        <f t="shared" si="3"/>
        <v>0.14273070459395984</v>
      </c>
      <c r="C33" s="17">
        <f t="shared" si="3"/>
        <v>0.139149382458626</v>
      </c>
      <c r="D33" s="17">
        <f t="shared" si="3"/>
        <v>0.1464731365797176</v>
      </c>
      <c r="E33" s="17">
        <f t="shared" si="3"/>
        <v>0.1415381113089024</v>
      </c>
      <c r="F33" s="17">
        <f t="shared" si="3"/>
        <v>0.1623382352976735</v>
      </c>
      <c r="G33" s="59">
        <f t="shared" si="3"/>
        <v>0.12184385256927786</v>
      </c>
    </row>
    <row r="34" spans="1:7" ht="11.25">
      <c r="A34" s="8">
        <f t="shared" si="4"/>
        <v>80</v>
      </c>
      <c r="B34" s="19">
        <f t="shared" si="3"/>
        <v>0.1337193148834609</v>
      </c>
      <c r="C34" s="17">
        <f t="shared" si="3"/>
        <v>0.13030492894923482</v>
      </c>
      <c r="D34" s="17">
        <f t="shared" si="3"/>
        <v>0.13727861577536454</v>
      </c>
      <c r="E34" s="17">
        <f t="shared" si="3"/>
        <v>0.1328199859940464</v>
      </c>
      <c r="F34" s="17">
        <f t="shared" si="3"/>
        <v>0.15270143254646035</v>
      </c>
      <c r="G34" s="59">
        <f t="shared" si="3"/>
        <v>0.11350669986051541</v>
      </c>
    </row>
    <row r="35" spans="1:7" ht="11.25">
      <c r="A35" s="8">
        <f t="shared" si="4"/>
        <v>90</v>
      </c>
      <c r="B35" s="19">
        <f t="shared" si="3"/>
        <v>0.12624414658637284</v>
      </c>
      <c r="C35" s="17">
        <f t="shared" si="3"/>
        <v>0.12297137616430721</v>
      </c>
      <c r="D35" s="17">
        <f t="shared" si="3"/>
        <v>0.1296487523414705</v>
      </c>
      <c r="E35" s="17">
        <f t="shared" si="3"/>
        <v>0.1255768873750161</v>
      </c>
      <c r="F35" s="17">
        <f t="shared" si="3"/>
        <v>0.14467713844585448</v>
      </c>
      <c r="G35" s="59">
        <f t="shared" si="3"/>
        <v>0.10662762552890931</v>
      </c>
    </row>
    <row r="36" spans="1:7" ht="11.25">
      <c r="A36" s="8">
        <f t="shared" si="4"/>
        <v>100</v>
      </c>
      <c r="B36" s="19">
        <f aca="true" t="shared" si="5" ref="B36:G42">B$47*($A36*10^3)^B$48</f>
        <v>0.11991217832519728</v>
      </c>
      <c r="C36" s="17">
        <f t="shared" si="5"/>
        <v>0.1167617241600738</v>
      </c>
      <c r="D36" s="17">
        <f t="shared" si="5"/>
        <v>0.12318365333221448</v>
      </c>
      <c r="E36" s="17">
        <f t="shared" si="5"/>
        <v>0.11943306368164766</v>
      </c>
      <c r="F36" s="17">
        <f t="shared" si="5"/>
        <v>0.13785713620875548</v>
      </c>
      <c r="G36" s="59">
        <f t="shared" si="5"/>
        <v>0.10082811826201889</v>
      </c>
    </row>
    <row r="37" spans="1:7" ht="11.25">
      <c r="A37" s="8">
        <f aca="true" t="shared" si="6" ref="A37:A42">A36+25</f>
        <v>125</v>
      </c>
      <c r="B37" s="19">
        <f t="shared" si="5"/>
        <v>0.10753069235529263</v>
      </c>
      <c r="C37" s="17">
        <f t="shared" si="5"/>
        <v>0.10462612841103297</v>
      </c>
      <c r="D37" s="17">
        <f t="shared" si="5"/>
        <v>0.11053587889538083</v>
      </c>
      <c r="E37" s="17">
        <f t="shared" si="5"/>
        <v>0.1073954088583017</v>
      </c>
      <c r="F37" s="17">
        <f t="shared" si="5"/>
        <v>0.12445587239593905</v>
      </c>
      <c r="G37" s="59">
        <f t="shared" si="5"/>
        <v>0.08956572118432406</v>
      </c>
    </row>
    <row r="38" spans="1:7" ht="11.25">
      <c r="A38" s="8">
        <f t="shared" si="6"/>
        <v>150</v>
      </c>
      <c r="B38" s="19">
        <f t="shared" si="5"/>
        <v>0.0983694677446217</v>
      </c>
      <c r="C38" s="17">
        <f t="shared" si="5"/>
        <v>0.09565304903817293</v>
      </c>
      <c r="D38" s="17">
        <f t="shared" si="5"/>
        <v>0.10117210214222039</v>
      </c>
      <c r="E38" s="17">
        <f t="shared" si="5"/>
        <v>0.09846627855926918</v>
      </c>
      <c r="F38" s="17">
        <f t="shared" si="5"/>
        <v>0.1144792112083697</v>
      </c>
      <c r="G38" s="59">
        <f t="shared" si="5"/>
        <v>0.0813040953314742</v>
      </c>
    </row>
    <row r="39" spans="1:7" ht="11.25">
      <c r="A39" s="8">
        <f t="shared" si="6"/>
        <v>175</v>
      </c>
      <c r="B39" s="19">
        <f t="shared" si="5"/>
        <v>0.09123542710350213</v>
      </c>
      <c r="C39" s="17">
        <f t="shared" si="5"/>
        <v>0.08866952603173248</v>
      </c>
      <c r="D39" s="17">
        <f t="shared" si="5"/>
        <v>0.09387676328733914</v>
      </c>
      <c r="E39" s="17">
        <f t="shared" si="5"/>
        <v>0.0914985386618481</v>
      </c>
      <c r="F39" s="17">
        <f t="shared" si="5"/>
        <v>0.10667064341498853</v>
      </c>
      <c r="G39" s="59">
        <f t="shared" si="5"/>
        <v>0.07491642864406033</v>
      </c>
    </row>
    <row r="40" spans="1:7" ht="11.25">
      <c r="A40" s="8">
        <f t="shared" si="6"/>
        <v>200</v>
      </c>
      <c r="B40" s="19">
        <f t="shared" si="5"/>
        <v>0.08547522300885867</v>
      </c>
      <c r="C40" s="17">
        <f t="shared" si="5"/>
        <v>0.08303361528005818</v>
      </c>
      <c r="D40" s="17">
        <f t="shared" si="5"/>
        <v>0.08798386119453117</v>
      </c>
      <c r="E40" s="17">
        <f t="shared" si="5"/>
        <v>0.08586263099851037</v>
      </c>
      <c r="F40" s="17">
        <f t="shared" si="5"/>
        <v>0.10033840783259301</v>
      </c>
      <c r="G40" s="59">
        <f t="shared" si="5"/>
        <v>0.06979027994775645</v>
      </c>
    </row>
    <row r="41" spans="1:7" ht="11.25">
      <c r="A41" s="8">
        <f t="shared" si="6"/>
        <v>225</v>
      </c>
      <c r="B41" s="19">
        <f t="shared" si="5"/>
        <v>0.08069699274512158</v>
      </c>
      <c r="C41" s="17">
        <f t="shared" si="5"/>
        <v>0.07836048890264456</v>
      </c>
      <c r="D41" s="17">
        <f t="shared" si="5"/>
        <v>0.08309377076413639</v>
      </c>
      <c r="E41" s="17">
        <f t="shared" si="5"/>
        <v>0.08118026712565544</v>
      </c>
      <c r="F41" s="17">
        <f t="shared" si="5"/>
        <v>0.09506573369582424</v>
      </c>
      <c r="G41" s="59">
        <f t="shared" si="5"/>
        <v>0.06556063954790185</v>
      </c>
    </row>
    <row r="42" spans="1:7" ht="11.25">
      <c r="A42" s="8">
        <f t="shared" si="6"/>
        <v>250</v>
      </c>
      <c r="B42" s="21">
        <f t="shared" si="5"/>
        <v>0.0766495116487618</v>
      </c>
      <c r="C42" s="22">
        <f t="shared" si="5"/>
        <v>0.07440354069124247</v>
      </c>
      <c r="D42" s="22">
        <f t="shared" si="5"/>
        <v>0.07895019479182272</v>
      </c>
      <c r="E42" s="22">
        <f t="shared" si="5"/>
        <v>0.0772085390550981</v>
      </c>
      <c r="F42" s="22">
        <f t="shared" si="5"/>
        <v>0.09058438630782886</v>
      </c>
      <c r="G42" s="60">
        <f t="shared" si="5"/>
        <v>0.06199477747797369</v>
      </c>
    </row>
    <row r="43" spans="1:7" ht="11.25">
      <c r="A43" s="8" t="s">
        <v>15</v>
      </c>
      <c r="B43" s="127" t="s">
        <v>16</v>
      </c>
      <c r="C43" s="127"/>
      <c r="D43" s="127"/>
      <c r="E43" s="127"/>
      <c r="F43" s="127"/>
      <c r="G43" s="127"/>
    </row>
    <row r="44" spans="1:7" ht="12.75">
      <c r="A44" s="61">
        <v>0.5</v>
      </c>
      <c r="B44" s="62">
        <f aca="true" t="shared" si="7" ref="B44:G45">EXP(LN($A44/B$47)/B$48)</f>
        <v>5374.403109098679</v>
      </c>
      <c r="C44" s="63">
        <f t="shared" si="7"/>
        <v>5195.134278129073</v>
      </c>
      <c r="D44" s="63">
        <f t="shared" si="7"/>
        <v>5582.43980627846</v>
      </c>
      <c r="E44" s="63">
        <f t="shared" si="7"/>
        <v>4941.700611639445</v>
      </c>
      <c r="F44" s="63">
        <f t="shared" si="7"/>
        <v>6013.052848155416</v>
      </c>
      <c r="G44" s="64">
        <f t="shared" si="7"/>
        <v>4896.931142558323</v>
      </c>
    </row>
    <row r="45" spans="1:7" ht="12.75">
      <c r="A45" s="65">
        <v>0.25</v>
      </c>
      <c r="B45" s="66">
        <f t="shared" si="7"/>
        <v>22217.222797615068</v>
      </c>
      <c r="C45" s="67">
        <f t="shared" si="7"/>
        <v>21266.458962557135</v>
      </c>
      <c r="D45" s="67">
        <f t="shared" si="7"/>
        <v>23273.68942637761</v>
      </c>
      <c r="E45" s="67">
        <f t="shared" si="7"/>
        <v>21191.395418139422</v>
      </c>
      <c r="F45" s="67">
        <f t="shared" si="7"/>
        <v>27285.725697218153</v>
      </c>
      <c r="G45" s="68">
        <f t="shared" si="7"/>
        <v>18073.783817202824</v>
      </c>
    </row>
    <row r="46" spans="2:7" ht="12.75">
      <c r="B46" s="150" t="s">
        <v>17</v>
      </c>
      <c r="C46" s="151"/>
      <c r="D46" s="151"/>
      <c r="E46" s="151"/>
      <c r="F46" s="151"/>
      <c r="G46" s="151"/>
    </row>
    <row r="47" spans="2:7" ht="12.75" hidden="1">
      <c r="B47" s="69">
        <v>33.179</v>
      </c>
      <c r="C47" s="70">
        <v>33.597</v>
      </c>
      <c r="D47" s="70">
        <v>32.965</v>
      </c>
      <c r="E47" s="70">
        <v>28.683</v>
      </c>
      <c r="F47" s="70">
        <v>26.973</v>
      </c>
      <c r="G47" s="71">
        <v>45.455</v>
      </c>
    </row>
    <row r="48" spans="2:7" ht="12.75" hidden="1">
      <c r="B48" s="72">
        <v>-0.4884</v>
      </c>
      <c r="C48" s="73">
        <v>-0.4918</v>
      </c>
      <c r="D48" s="73">
        <v>-0.4855</v>
      </c>
      <c r="E48" s="73">
        <v>-0.4761</v>
      </c>
      <c r="F48" s="73">
        <v>-0.4583</v>
      </c>
      <c r="G48" s="74">
        <v>-0.5308</v>
      </c>
    </row>
    <row r="49" spans="1:7" ht="12.75" customHeight="1">
      <c r="A49" s="75" t="s">
        <v>18</v>
      </c>
      <c r="B49" s="18" t="s">
        <v>42</v>
      </c>
      <c r="C49" s="76" t="s">
        <v>43</v>
      </c>
      <c r="D49" s="76" t="s">
        <v>44</v>
      </c>
      <c r="E49" s="76" t="s">
        <v>45</v>
      </c>
      <c r="F49" s="76" t="s">
        <v>46</v>
      </c>
      <c r="G49" s="77" t="s">
        <v>47</v>
      </c>
    </row>
    <row r="50" spans="1:7" ht="12.75" customHeight="1">
      <c r="A50" s="35" t="s">
        <v>33</v>
      </c>
      <c r="B50" s="14">
        <v>0.8964</v>
      </c>
      <c r="C50" s="13">
        <v>0.8985</v>
      </c>
      <c r="D50" s="13">
        <v>0.8951</v>
      </c>
      <c r="E50" s="13">
        <v>0.8867</v>
      </c>
      <c r="F50" s="13">
        <v>0.855</v>
      </c>
      <c r="G50" s="57">
        <v>0.9548</v>
      </c>
    </row>
    <row r="51" spans="1:7" ht="12.75" customHeight="1">
      <c r="A51" s="38" t="s">
        <v>19</v>
      </c>
      <c r="B51" s="39">
        <f>763-1</f>
        <v>762</v>
      </c>
      <c r="C51" s="40">
        <f>410-1</f>
        <v>409</v>
      </c>
      <c r="D51" s="40">
        <f>763-410</f>
        <v>353</v>
      </c>
      <c r="E51" s="40">
        <f>366-169</f>
        <v>197</v>
      </c>
      <c r="F51" s="40">
        <f>763-366</f>
        <v>397</v>
      </c>
      <c r="G51" s="78">
        <f>169-1</f>
        <v>168</v>
      </c>
    </row>
    <row r="52" spans="1:7" ht="9.75" customHeight="1">
      <c r="A52" s="148" t="s">
        <v>51</v>
      </c>
      <c r="B52" s="149"/>
      <c r="C52" s="149"/>
      <c r="D52" s="149"/>
      <c r="E52" s="149"/>
      <c r="F52" s="149"/>
      <c r="G52" s="149"/>
    </row>
    <row r="53" spans="1:7" ht="10.5" customHeight="1">
      <c r="A53" s="149"/>
      <c r="B53" s="149"/>
      <c r="C53" s="149"/>
      <c r="D53" s="149"/>
      <c r="E53" s="149"/>
      <c r="F53" s="149"/>
      <c r="G53" s="149"/>
    </row>
    <row r="54" spans="1:7" ht="10.5" customHeight="1">
      <c r="A54" s="149"/>
      <c r="B54" s="149"/>
      <c r="C54" s="149"/>
      <c r="D54" s="149"/>
      <c r="E54" s="149"/>
      <c r="F54" s="149"/>
      <c r="G54" s="149"/>
    </row>
    <row r="55" spans="1:7" ht="10.5" customHeight="1">
      <c r="A55" s="149"/>
      <c r="B55" s="149"/>
      <c r="C55" s="149"/>
      <c r="D55" s="149"/>
      <c r="E55" s="149"/>
      <c r="F55" s="149"/>
      <c r="G55" s="149"/>
    </row>
    <row r="56" spans="1:7" ht="10.5" customHeight="1">
      <c r="A56" s="149"/>
      <c r="B56" s="149"/>
      <c r="C56" s="149"/>
      <c r="D56" s="149"/>
      <c r="E56" s="149"/>
      <c r="F56" s="149"/>
      <c r="G56" s="149"/>
    </row>
    <row r="57" spans="1:7" ht="10.5" customHeight="1">
      <c r="A57" s="149"/>
      <c r="B57" s="149"/>
      <c r="C57" s="149"/>
      <c r="D57" s="149"/>
      <c r="E57" s="149"/>
      <c r="F57" s="149"/>
      <c r="G57" s="149"/>
    </row>
    <row r="58" spans="1:7" ht="10.5" customHeight="1">
      <c r="A58" s="149"/>
      <c r="B58" s="149"/>
      <c r="C58" s="149"/>
      <c r="D58" s="149"/>
      <c r="E58" s="149"/>
      <c r="F58" s="149"/>
      <c r="G58" s="149"/>
    </row>
    <row r="59" spans="1:7" ht="12.75">
      <c r="A59" s="149"/>
      <c r="B59" s="149"/>
      <c r="C59" s="149"/>
      <c r="D59" s="149"/>
      <c r="E59" s="149"/>
      <c r="F59" s="149"/>
      <c r="G59" s="149"/>
    </row>
    <row r="60" ht="10.5">
      <c r="A60" s="43" t="s">
        <v>48</v>
      </c>
    </row>
    <row r="61" spans="2:7" ht="33.75">
      <c r="B61" s="50" t="s">
        <v>36</v>
      </c>
      <c r="C61" s="51" t="s">
        <v>37</v>
      </c>
      <c r="D61" s="51" t="s">
        <v>38</v>
      </c>
      <c r="E61" s="51" t="s">
        <v>39</v>
      </c>
      <c r="F61" s="51" t="s">
        <v>40</v>
      </c>
      <c r="G61" s="51" t="s">
        <v>41</v>
      </c>
    </row>
    <row r="62" spans="1:7" ht="34.5" thickBot="1">
      <c r="A62" s="46" t="s">
        <v>34</v>
      </c>
      <c r="B62" s="138" t="s">
        <v>14</v>
      </c>
      <c r="C62" s="135"/>
      <c r="D62" s="135"/>
      <c r="E62" s="135"/>
      <c r="F62" s="135"/>
      <c r="G62" s="135"/>
    </row>
    <row r="63" spans="1:7" ht="12" thickBot="1">
      <c r="A63" s="47">
        <v>95.831</v>
      </c>
      <c r="B63" s="48">
        <f aca="true" t="shared" si="8" ref="B63:G63">B$47*($A63*10^3)^B$48</f>
        <v>0.12243222785209543</v>
      </c>
      <c r="C63" s="49">
        <f t="shared" si="8"/>
        <v>0.11923282632558947</v>
      </c>
      <c r="D63" s="49">
        <f t="shared" si="8"/>
        <v>0.12575692438027924</v>
      </c>
      <c r="E63" s="49">
        <f t="shared" si="8"/>
        <v>0.12187918929711197</v>
      </c>
      <c r="F63" s="49">
        <f t="shared" si="8"/>
        <v>0.14057401315451423</v>
      </c>
      <c r="G63" s="49">
        <f t="shared" si="8"/>
        <v>0.10313314620795255</v>
      </c>
    </row>
    <row r="65" ht="10.5">
      <c r="A65" s="4" t="s">
        <v>22</v>
      </c>
    </row>
    <row r="68" ht="10.5">
      <c r="A68" s="4" t="s">
        <v>49</v>
      </c>
    </row>
  </sheetData>
  <mergeCells count="9">
    <mergeCell ref="B62:G62"/>
    <mergeCell ref="B2:G2"/>
    <mergeCell ref="A2:A4"/>
    <mergeCell ref="A52:G58"/>
    <mergeCell ref="B3:G3"/>
    <mergeCell ref="B46:G46"/>
    <mergeCell ref="B5:G5"/>
    <mergeCell ref="A59:G59"/>
    <mergeCell ref="B43:G4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79" customWidth="1"/>
    <col min="2" max="2" width="37.140625" style="79" customWidth="1"/>
    <col min="3" max="3" width="5.421875" style="80" customWidth="1"/>
    <col min="4" max="4" width="5.421875" style="81" customWidth="1"/>
    <col min="5" max="5" width="9.00390625" style="80" customWidth="1"/>
    <col min="6" max="6" width="5.00390625" style="81" customWidth="1"/>
    <col min="7" max="7" width="6.421875" style="81" customWidth="1"/>
    <col min="8" max="8" width="5.00390625" style="81" customWidth="1"/>
    <col min="9" max="9" width="8.140625" style="80" customWidth="1"/>
    <col min="10" max="10" width="5.421875" style="81" customWidth="1"/>
    <col min="11" max="11" width="5.421875" style="80" customWidth="1"/>
    <col min="12" max="12" width="5.421875" style="82" customWidth="1"/>
    <col min="13" max="16384" width="9.140625" style="79" customWidth="1"/>
  </cols>
  <sheetData>
    <row r="1" ht="12.75">
      <c r="A1" s="79" t="s">
        <v>52</v>
      </c>
    </row>
    <row r="2" spans="1:12" ht="12.75">
      <c r="A2" s="79" t="s">
        <v>53</v>
      </c>
      <c r="C2" s="141" t="s">
        <v>54</v>
      </c>
      <c r="D2" s="142"/>
      <c r="E2" s="143" t="s">
        <v>55</v>
      </c>
      <c r="F2" s="144"/>
      <c r="G2" s="144"/>
      <c r="H2" s="145"/>
      <c r="I2" s="140" t="s">
        <v>56</v>
      </c>
      <c r="J2" s="140"/>
      <c r="K2" s="140"/>
      <c r="L2" s="114"/>
    </row>
    <row r="3" spans="1:16" ht="12.75">
      <c r="A3" s="79" t="s">
        <v>57</v>
      </c>
      <c r="B3" s="83" t="s">
        <v>58</v>
      </c>
      <c r="C3" s="84" t="s">
        <v>59</v>
      </c>
      <c r="D3" s="118" t="s">
        <v>60</v>
      </c>
      <c r="E3" s="84" t="s">
        <v>61</v>
      </c>
      <c r="F3" s="118" t="s">
        <v>60</v>
      </c>
      <c r="G3" s="86" t="s">
        <v>64</v>
      </c>
      <c r="H3" s="87" t="s">
        <v>65</v>
      </c>
      <c r="I3" s="86" t="s">
        <v>62</v>
      </c>
      <c r="J3" s="85" t="s">
        <v>63</v>
      </c>
      <c r="K3" s="86" t="s">
        <v>64</v>
      </c>
      <c r="L3" s="87" t="s">
        <v>65</v>
      </c>
      <c r="N3" s="83" t="s">
        <v>66</v>
      </c>
      <c r="O3" s="88" t="s">
        <v>67</v>
      </c>
      <c r="P3" s="89" t="s">
        <v>68</v>
      </c>
    </row>
    <row r="4" spans="1:16" ht="12.75">
      <c r="A4" s="79">
        <v>1</v>
      </c>
      <c r="B4" s="81" t="s">
        <v>69</v>
      </c>
      <c r="C4" s="90">
        <v>1948</v>
      </c>
      <c r="D4" s="119">
        <v>25.4</v>
      </c>
      <c r="E4" s="90">
        <v>3970751.6453381004</v>
      </c>
      <c r="F4" s="92">
        <f aca="true" t="shared" si="0" ref="F4:F28">E4/E$29</f>
        <v>0.20883742309008532</v>
      </c>
      <c r="G4" s="93">
        <f>E4*H4</f>
        <v>78540.22230996206</v>
      </c>
      <c r="H4" s="92">
        <v>0.01977968639820951</v>
      </c>
      <c r="I4" s="93">
        <v>1933190.8979</v>
      </c>
      <c r="J4" s="92">
        <f aca="true" t="shared" si="1" ref="J4:J28">I4/I$29</f>
        <v>0.2612603014508313</v>
      </c>
      <c r="K4" s="93">
        <v>19673.281058</v>
      </c>
      <c r="L4" s="91">
        <v>0.0101765848</v>
      </c>
      <c r="N4" s="94">
        <v>4</v>
      </c>
      <c r="O4" s="95">
        <v>2368.5068295</v>
      </c>
      <c r="P4" s="96">
        <v>0.448645</v>
      </c>
    </row>
    <row r="5" spans="1:16" ht="12.75">
      <c r="A5" s="79">
        <v>2</v>
      </c>
      <c r="B5" s="81" t="s">
        <v>70</v>
      </c>
      <c r="C5" s="90">
        <v>37</v>
      </c>
      <c r="D5" s="119">
        <v>0.5</v>
      </c>
      <c r="E5" s="90">
        <v>133066.13996069</v>
      </c>
      <c r="F5" s="92">
        <f t="shared" si="0"/>
        <v>0.006998470882096416</v>
      </c>
      <c r="G5" s="93">
        <f aca="true" t="shared" si="2" ref="G5:G29">E5*H5</f>
        <v>13968.626318272714</v>
      </c>
      <c r="H5" s="92">
        <v>0.10497506219387806</v>
      </c>
      <c r="I5" s="93">
        <v>41371.569125</v>
      </c>
      <c r="J5" s="92">
        <f t="shared" si="1"/>
        <v>0.005591143964536977</v>
      </c>
      <c r="K5" s="93">
        <v>6995.9577137</v>
      </c>
      <c r="L5" s="91">
        <v>0.1691006133</v>
      </c>
      <c r="N5" s="94">
        <v>4</v>
      </c>
      <c r="O5" s="95">
        <v>4247.6055613</v>
      </c>
      <c r="P5" s="96">
        <v>0.8318682061</v>
      </c>
    </row>
    <row r="6" spans="1:16" ht="12.75">
      <c r="A6" s="79">
        <v>3</v>
      </c>
      <c r="B6" s="81" t="s">
        <v>71</v>
      </c>
      <c r="C6" s="90">
        <v>8</v>
      </c>
      <c r="D6" s="119">
        <v>0.1</v>
      </c>
      <c r="E6" s="90">
        <v>33486.5084322</v>
      </c>
      <c r="F6" s="92">
        <f t="shared" si="0"/>
        <v>0.0017611869877270057</v>
      </c>
      <c r="G6" s="93">
        <f t="shared" si="2"/>
        <v>6925.668071070306</v>
      </c>
      <c r="H6" s="92">
        <v>0.20681965350590908</v>
      </c>
      <c r="I6" s="93">
        <v>10604.962918</v>
      </c>
      <c r="J6" s="92">
        <f t="shared" si="1"/>
        <v>0.0014332034212665157</v>
      </c>
      <c r="K6" s="93">
        <v>3600.0588246</v>
      </c>
      <c r="L6" s="91">
        <v>0.3394692516</v>
      </c>
      <c r="N6" s="94">
        <v>4</v>
      </c>
      <c r="O6" s="95">
        <v>2006.9064979</v>
      </c>
      <c r="P6" s="96">
        <v>0.4908273106</v>
      </c>
    </row>
    <row r="7" spans="1:16" ht="12.75">
      <c r="A7" s="79">
        <v>4</v>
      </c>
      <c r="B7" s="81" t="s">
        <v>72</v>
      </c>
      <c r="C7" s="90">
        <v>1869</v>
      </c>
      <c r="D7" s="119">
        <v>24.3</v>
      </c>
      <c r="E7" s="90">
        <v>6731164.251389002</v>
      </c>
      <c r="F7" s="92">
        <f t="shared" si="0"/>
        <v>0.3540183628222079</v>
      </c>
      <c r="G7" s="93">
        <f t="shared" si="2"/>
        <v>102718.62718126261</v>
      </c>
      <c r="H7" s="92">
        <v>0.015260157581218764</v>
      </c>
      <c r="I7" s="93">
        <v>1617415.4495</v>
      </c>
      <c r="J7" s="92">
        <f t="shared" si="1"/>
        <v>0.21858495628477778</v>
      </c>
      <c r="K7" s="93">
        <v>10579.817088</v>
      </c>
      <c r="L7" s="91">
        <v>0.0065411871</v>
      </c>
      <c r="N7" s="94">
        <v>6</v>
      </c>
      <c r="O7" s="95">
        <v>3428.8779053</v>
      </c>
      <c r="P7" s="96">
        <v>0.5446895437</v>
      </c>
    </row>
    <row r="8" spans="1:16" ht="12.75">
      <c r="A8" s="79">
        <v>5</v>
      </c>
      <c r="B8" s="81" t="s">
        <v>73</v>
      </c>
      <c r="C8" s="90">
        <v>46</v>
      </c>
      <c r="D8" s="119">
        <v>0.6</v>
      </c>
      <c r="E8" s="90">
        <v>264186.82927395</v>
      </c>
      <c r="F8" s="92">
        <f t="shared" si="0"/>
        <v>0.013894622874409025</v>
      </c>
      <c r="G8" s="93">
        <f t="shared" si="2"/>
        <v>19797.355053724637</v>
      </c>
      <c r="H8" s="92">
        <v>0.0749369493859047</v>
      </c>
      <c r="I8" s="93">
        <v>50805.790345</v>
      </c>
      <c r="J8" s="92">
        <f t="shared" si="1"/>
        <v>0.006866127972877021</v>
      </c>
      <c r="K8" s="93">
        <v>7937.8956268</v>
      </c>
      <c r="L8" s="91">
        <v>0.1562399792</v>
      </c>
      <c r="N8" s="97">
        <v>7</v>
      </c>
      <c r="O8" s="98">
        <v>2701.6429621</v>
      </c>
      <c r="P8" s="99">
        <v>0.3740264342</v>
      </c>
    </row>
    <row r="9" spans="1:16" ht="12.75">
      <c r="A9" s="79">
        <v>6</v>
      </c>
      <c r="B9" s="81" t="s">
        <v>74</v>
      </c>
      <c r="C9" s="90">
        <v>10</v>
      </c>
      <c r="D9" s="119">
        <v>0.1</v>
      </c>
      <c r="E9" s="90">
        <v>52679.65898787</v>
      </c>
      <c r="F9" s="92">
        <f t="shared" si="0"/>
        <v>0.0027706301513990743</v>
      </c>
      <c r="G9" s="93">
        <f t="shared" si="2"/>
        <v>8720.08640775053</v>
      </c>
      <c r="H9" s="92">
        <v>0.16553042626487793</v>
      </c>
      <c r="I9" s="93">
        <v>11844.806796</v>
      </c>
      <c r="J9" s="92">
        <f t="shared" si="1"/>
        <v>0.001600761620340451</v>
      </c>
      <c r="K9" s="93">
        <v>2992.3555962</v>
      </c>
      <c r="L9" s="91">
        <v>0.2526301735</v>
      </c>
      <c r="N9" s="97">
        <v>8</v>
      </c>
      <c r="O9" s="98">
        <v>3600.0588246</v>
      </c>
      <c r="P9" s="99">
        <v>0.3394692516</v>
      </c>
    </row>
    <row r="10" spans="1:16" ht="12.75">
      <c r="A10" s="79">
        <v>7</v>
      </c>
      <c r="B10" s="81" t="s">
        <v>75</v>
      </c>
      <c r="C10" s="90">
        <v>274</v>
      </c>
      <c r="D10" s="119">
        <v>3.6</v>
      </c>
      <c r="E10" s="90">
        <v>1140204.689936</v>
      </c>
      <c r="F10" s="92">
        <f t="shared" si="0"/>
        <v>0.059967842491742855</v>
      </c>
      <c r="G10" s="93">
        <f t="shared" si="2"/>
        <v>41642.913929060196</v>
      </c>
      <c r="H10" s="92">
        <v>0.03652231419202251</v>
      </c>
      <c r="I10" s="93">
        <v>313076.47012</v>
      </c>
      <c r="J10" s="92">
        <f t="shared" si="1"/>
        <v>0.04231059283879601</v>
      </c>
      <c r="K10" s="93">
        <v>18648.054662</v>
      </c>
      <c r="L10" s="91">
        <v>0.0595638971</v>
      </c>
      <c r="N10" s="97">
        <v>10</v>
      </c>
      <c r="O10" s="98">
        <v>2992.3555962</v>
      </c>
      <c r="P10" s="99">
        <v>0.2526301735</v>
      </c>
    </row>
    <row r="11" spans="1:16" ht="12.75">
      <c r="A11" s="79">
        <v>8</v>
      </c>
      <c r="B11" s="81" t="s">
        <v>76</v>
      </c>
      <c r="C11" s="90">
        <v>6</v>
      </c>
      <c r="D11" s="119">
        <v>0.1</v>
      </c>
      <c r="E11" s="90">
        <v>31231.794500000004</v>
      </c>
      <c r="F11" s="92">
        <f t="shared" si="0"/>
        <v>0.0016426027272485677</v>
      </c>
      <c r="G11" s="93">
        <f t="shared" si="2"/>
        <v>6684.484013533342</v>
      </c>
      <c r="H11" s="92">
        <v>0.21402817611179342</v>
      </c>
      <c r="I11" s="93">
        <v>6295.1050649</v>
      </c>
      <c r="J11" s="92">
        <f t="shared" si="1"/>
        <v>0.0008507494260949618</v>
      </c>
      <c r="K11" s="93">
        <v>3428.8779053</v>
      </c>
      <c r="L11" s="91">
        <v>0.5446895437</v>
      </c>
      <c r="N11" s="97">
        <v>10</v>
      </c>
      <c r="O11" s="98">
        <v>3278.6794293</v>
      </c>
      <c r="P11" s="99">
        <v>0.2965899157</v>
      </c>
    </row>
    <row r="12" spans="1:16" ht="12.75">
      <c r="A12" s="79">
        <v>10</v>
      </c>
      <c r="B12" s="81" t="s">
        <v>77</v>
      </c>
      <c r="C12" s="90">
        <v>384</v>
      </c>
      <c r="D12" s="119">
        <v>5</v>
      </c>
      <c r="E12" s="90">
        <v>1527323.9063035003</v>
      </c>
      <c r="F12" s="92">
        <f t="shared" si="0"/>
        <v>0.08032796238736986</v>
      </c>
      <c r="G12" s="93">
        <f t="shared" si="2"/>
        <v>48316.374113591766</v>
      </c>
      <c r="H12" s="92">
        <v>0.031634661065791395</v>
      </c>
      <c r="I12" s="93">
        <v>446817.66918</v>
      </c>
      <c r="J12" s="92">
        <f t="shared" si="1"/>
        <v>0.060384993054919255</v>
      </c>
      <c r="K12" s="93">
        <v>22018.438561</v>
      </c>
      <c r="L12" s="91">
        <v>0.0492783524</v>
      </c>
      <c r="N12" s="97">
        <v>11</v>
      </c>
      <c r="O12" s="98">
        <v>2696.5936144</v>
      </c>
      <c r="P12" s="99">
        <v>0.231241743</v>
      </c>
    </row>
    <row r="13" spans="1:16" ht="12.75">
      <c r="A13" s="79">
        <v>11</v>
      </c>
      <c r="B13" s="81" t="s">
        <v>78</v>
      </c>
      <c r="C13" s="90">
        <v>10</v>
      </c>
      <c r="D13" s="119">
        <v>0.1</v>
      </c>
      <c r="E13" s="90">
        <v>51804.512844499994</v>
      </c>
      <c r="F13" s="92">
        <f t="shared" si="0"/>
        <v>0.0027246027788175647</v>
      </c>
      <c r="G13" s="93">
        <f t="shared" si="2"/>
        <v>8646.120170064842</v>
      </c>
      <c r="H13" s="92">
        <v>0.16689897646596222</v>
      </c>
      <c r="I13" s="93">
        <v>11054.58836</v>
      </c>
      <c r="J13" s="92">
        <f t="shared" si="1"/>
        <v>0.0014939678696427668</v>
      </c>
      <c r="K13" s="93">
        <v>3278.6794293</v>
      </c>
      <c r="L13" s="91">
        <v>0.2965899157</v>
      </c>
      <c r="N13" s="97">
        <v>15</v>
      </c>
      <c r="O13" s="98">
        <v>3508.9690473</v>
      </c>
      <c r="P13" s="99">
        <v>0.2513969742</v>
      </c>
    </row>
    <row r="14" spans="1:16" ht="12.75">
      <c r="A14" s="79">
        <v>12</v>
      </c>
      <c r="B14" s="81" t="s">
        <v>79</v>
      </c>
      <c r="C14" s="90">
        <v>7</v>
      </c>
      <c r="D14" s="119">
        <v>0.1</v>
      </c>
      <c r="E14" s="90">
        <v>38848.3576552</v>
      </c>
      <c r="F14" s="92">
        <f t="shared" si="0"/>
        <v>0.0020431876955888423</v>
      </c>
      <c r="G14" s="93">
        <f t="shared" si="2"/>
        <v>7468.980836066484</v>
      </c>
      <c r="H14" s="92">
        <v>0.19225988656606008</v>
      </c>
      <c r="I14" s="93">
        <v>7223.1337546</v>
      </c>
      <c r="J14" s="92">
        <f t="shared" si="1"/>
        <v>0.0009761674877511696</v>
      </c>
      <c r="K14" s="93">
        <v>2701.6429621</v>
      </c>
      <c r="L14" s="91">
        <v>0.3740264342</v>
      </c>
      <c r="N14" s="97">
        <v>15</v>
      </c>
      <c r="O14" s="98">
        <v>4711.4440691</v>
      </c>
      <c r="P14" s="99">
        <v>0.2682611792</v>
      </c>
    </row>
    <row r="15" spans="1:16" ht="12.75">
      <c r="A15" s="79">
        <v>13</v>
      </c>
      <c r="B15" s="81" t="s">
        <v>80</v>
      </c>
      <c r="C15" s="90">
        <v>413</v>
      </c>
      <c r="D15" s="119">
        <v>5.4</v>
      </c>
      <c r="E15" s="90">
        <v>1106875.59668206</v>
      </c>
      <c r="F15" s="92">
        <f t="shared" si="0"/>
        <v>0.05821493458644642</v>
      </c>
      <c r="G15" s="93">
        <f t="shared" si="2"/>
        <v>41019.42724629016</v>
      </c>
      <c r="H15" s="92">
        <v>0.03705875110920222</v>
      </c>
      <c r="I15" s="93">
        <v>381745.38174</v>
      </c>
      <c r="J15" s="92">
        <f t="shared" si="1"/>
        <v>0.05159082510640609</v>
      </c>
      <c r="K15" s="93">
        <v>7737.1658738</v>
      </c>
      <c r="L15" s="91">
        <v>0.0202678703</v>
      </c>
      <c r="N15" s="90">
        <v>37</v>
      </c>
      <c r="O15" s="93">
        <v>6995.9577137</v>
      </c>
      <c r="P15" s="91">
        <v>0.1691006133</v>
      </c>
    </row>
    <row r="16" spans="1:16" ht="12.75">
      <c r="A16" s="79">
        <v>14</v>
      </c>
      <c r="B16" s="81" t="s">
        <v>81</v>
      </c>
      <c r="C16" s="90">
        <v>45</v>
      </c>
      <c r="D16" s="119">
        <v>0.6</v>
      </c>
      <c r="E16" s="90">
        <v>148424.44258603</v>
      </c>
      <c r="F16" s="92">
        <f t="shared" si="0"/>
        <v>0.007806224332776053</v>
      </c>
      <c r="G16" s="93">
        <f t="shared" si="2"/>
        <v>14766.441704646286</v>
      </c>
      <c r="H16" s="92">
        <v>0.0994879377504641</v>
      </c>
      <c r="I16" s="93">
        <v>38007.499667</v>
      </c>
      <c r="J16" s="92">
        <f t="shared" si="1"/>
        <v>0.005136508159219793</v>
      </c>
      <c r="K16" s="93">
        <v>6275.2572456</v>
      </c>
      <c r="L16" s="91">
        <v>0.1651057634</v>
      </c>
      <c r="N16" s="90">
        <v>45</v>
      </c>
      <c r="O16" s="93">
        <v>6275.2572456</v>
      </c>
      <c r="P16" s="91">
        <v>0.1651057634</v>
      </c>
    </row>
    <row r="17" spans="1:16" ht="12.75">
      <c r="A17" s="79">
        <v>15</v>
      </c>
      <c r="B17" s="81" t="s">
        <v>82</v>
      </c>
      <c r="C17" s="90">
        <v>15</v>
      </c>
      <c r="D17" s="119">
        <v>0.2</v>
      </c>
      <c r="E17" s="90">
        <v>50748.12216707</v>
      </c>
      <c r="F17" s="92">
        <f t="shared" si="0"/>
        <v>0.00266904304440056</v>
      </c>
      <c r="G17" s="93">
        <f t="shared" si="2"/>
        <v>8556.012372939984</v>
      </c>
      <c r="H17" s="92">
        <v>0.16859761519396482</v>
      </c>
      <c r="I17" s="93">
        <v>13957.880992</v>
      </c>
      <c r="J17" s="92">
        <f t="shared" si="1"/>
        <v>0.0018863321773064656</v>
      </c>
      <c r="K17" s="93">
        <v>3508.9690473</v>
      </c>
      <c r="L17" s="91">
        <v>0.2513969742</v>
      </c>
      <c r="N17" s="90">
        <v>46</v>
      </c>
      <c r="O17" s="93">
        <v>7937.8956268</v>
      </c>
      <c r="P17" s="91">
        <v>0.1562399792</v>
      </c>
    </row>
    <row r="18" spans="1:16" ht="12.75">
      <c r="A18" s="79">
        <v>16</v>
      </c>
      <c r="B18" s="81" t="s">
        <v>83</v>
      </c>
      <c r="C18" s="90">
        <v>75</v>
      </c>
      <c r="D18" s="119">
        <v>1</v>
      </c>
      <c r="E18" s="90">
        <v>178920.81835222998</v>
      </c>
      <c r="F18" s="92">
        <f t="shared" si="0"/>
        <v>0.00941014850065431</v>
      </c>
      <c r="G18" s="93">
        <f t="shared" si="2"/>
        <v>16238.406207613085</v>
      </c>
      <c r="H18" s="92">
        <v>0.09075750020126541</v>
      </c>
      <c r="I18" s="93">
        <v>80293.002868</v>
      </c>
      <c r="J18" s="92">
        <f t="shared" si="1"/>
        <v>0.010851165374549191</v>
      </c>
      <c r="K18" s="93">
        <v>9252.9244738</v>
      </c>
      <c r="L18" s="91">
        <v>0.1152394872</v>
      </c>
      <c r="N18" s="90">
        <v>73</v>
      </c>
      <c r="O18" s="93">
        <v>10545.19796</v>
      </c>
      <c r="P18" s="91">
        <v>0.1435955141</v>
      </c>
    </row>
    <row r="19" spans="1:16" ht="12.75">
      <c r="A19" s="79">
        <v>17</v>
      </c>
      <c r="B19" s="81" t="s">
        <v>84</v>
      </c>
      <c r="C19" s="90">
        <v>4</v>
      </c>
      <c r="D19" s="119">
        <v>0.1</v>
      </c>
      <c r="E19" s="90">
        <v>16431.09881039</v>
      </c>
      <c r="F19" s="92">
        <f t="shared" si="0"/>
        <v>0.000864176015170608</v>
      </c>
      <c r="G19" s="93">
        <f t="shared" si="2"/>
        <v>4822.0511807941375</v>
      </c>
      <c r="H19" s="92">
        <v>0.29347101106500395</v>
      </c>
      <c r="I19" s="93">
        <v>5279.2449025</v>
      </c>
      <c r="J19" s="92">
        <f t="shared" si="1"/>
        <v>0.0007134614156099035</v>
      </c>
      <c r="K19" s="93">
        <v>2368.5068295</v>
      </c>
      <c r="L19" s="91">
        <v>0.448645</v>
      </c>
      <c r="N19" s="90">
        <v>74</v>
      </c>
      <c r="O19" s="93">
        <v>10499.795238</v>
      </c>
      <c r="P19" s="91">
        <v>0.1354992506</v>
      </c>
    </row>
    <row r="20" spans="1:16" ht="12.75">
      <c r="A20" s="79">
        <v>18</v>
      </c>
      <c r="B20" s="81" t="s">
        <v>85</v>
      </c>
      <c r="C20" s="90">
        <v>4</v>
      </c>
      <c r="D20" s="119">
        <v>0.1</v>
      </c>
      <c r="E20" s="90">
        <v>15007.76845585</v>
      </c>
      <c r="F20" s="92">
        <f t="shared" si="0"/>
        <v>0.0007893174820772541</v>
      </c>
      <c r="G20" s="93">
        <f t="shared" si="2"/>
        <v>4604.920036404252</v>
      </c>
      <c r="H20" s="92">
        <v>0.30683575975675864</v>
      </c>
      <c r="I20" s="93">
        <v>5106.1039839</v>
      </c>
      <c r="J20" s="92">
        <f t="shared" si="1"/>
        <v>0.0006900623562433153</v>
      </c>
      <c r="K20" s="93">
        <v>4247.6055613</v>
      </c>
      <c r="L20" s="91">
        <v>0.8318682061</v>
      </c>
      <c r="N20" s="90">
        <v>75</v>
      </c>
      <c r="O20" s="93">
        <v>9252.9244738</v>
      </c>
      <c r="P20" s="91">
        <v>0.1152394872</v>
      </c>
    </row>
    <row r="21" spans="1:16" ht="12.75">
      <c r="A21" s="79">
        <v>19</v>
      </c>
      <c r="B21" s="81" t="s">
        <v>86</v>
      </c>
      <c r="C21" s="90">
        <v>202</v>
      </c>
      <c r="D21" s="119">
        <v>2.6</v>
      </c>
      <c r="E21" s="90">
        <v>485203.42407</v>
      </c>
      <c r="F21" s="92">
        <f t="shared" si="0"/>
        <v>0.02551875357811173</v>
      </c>
      <c r="G21" s="93">
        <f t="shared" si="2"/>
        <v>26968.551889368082</v>
      </c>
      <c r="H21" s="92">
        <v>0.055581948831171776</v>
      </c>
      <c r="I21" s="93">
        <v>209929.06064</v>
      </c>
      <c r="J21" s="92">
        <f t="shared" si="1"/>
        <v>0.028370777932833678</v>
      </c>
      <c r="K21" s="93">
        <v>16017.092396</v>
      </c>
      <c r="L21" s="91">
        <v>0.0762976424</v>
      </c>
      <c r="N21" s="90">
        <v>188</v>
      </c>
      <c r="O21" s="93">
        <v>19024.30388</v>
      </c>
      <c r="P21" s="91">
        <v>0.0949715667</v>
      </c>
    </row>
    <row r="22" spans="1:16" ht="12.75">
      <c r="A22" s="79">
        <v>20</v>
      </c>
      <c r="B22" s="81" t="s">
        <v>87</v>
      </c>
      <c r="C22" s="90">
        <v>11</v>
      </c>
      <c r="D22" s="119">
        <v>0.1</v>
      </c>
      <c r="E22" s="90">
        <v>37917.841847200005</v>
      </c>
      <c r="F22" s="92">
        <f t="shared" si="0"/>
        <v>0.001994248214894939</v>
      </c>
      <c r="G22" s="93">
        <f t="shared" si="2"/>
        <v>7377.467787477599</v>
      </c>
      <c r="H22" s="92">
        <v>0.19456454872107598</v>
      </c>
      <c r="I22" s="93">
        <v>11661.361738</v>
      </c>
      <c r="J22" s="92">
        <f t="shared" si="1"/>
        <v>0.00157597001222518</v>
      </c>
      <c r="K22" s="93">
        <v>2696.5936144</v>
      </c>
      <c r="L22" s="91">
        <v>0.231241743</v>
      </c>
      <c r="N22" s="90">
        <v>202</v>
      </c>
      <c r="O22" s="93">
        <v>16017.092396</v>
      </c>
      <c r="P22" s="91">
        <v>0.0762976424</v>
      </c>
    </row>
    <row r="23" spans="1:16" ht="12.75">
      <c r="A23" s="79">
        <v>21</v>
      </c>
      <c r="B23" s="81" t="s">
        <v>88</v>
      </c>
      <c r="C23" s="90">
        <v>4</v>
      </c>
      <c r="D23" s="119">
        <v>0.1</v>
      </c>
      <c r="E23" s="90">
        <v>14557.234999100001</v>
      </c>
      <c r="F23" s="92">
        <f t="shared" si="0"/>
        <v>0.000765622158237496</v>
      </c>
      <c r="G23" s="93">
        <f t="shared" si="2"/>
        <v>4534.098627599127</v>
      </c>
      <c r="H23" s="92">
        <v>0.31146702157926603</v>
      </c>
      <c r="I23" s="93">
        <v>4088.8240215</v>
      </c>
      <c r="J23" s="92">
        <f t="shared" si="1"/>
        <v>0.0005525824674619115</v>
      </c>
      <c r="K23" s="93">
        <v>2006.9064979</v>
      </c>
      <c r="L23" s="91">
        <v>0.4908273106</v>
      </c>
      <c r="N23" s="90">
        <v>274</v>
      </c>
      <c r="O23" s="93">
        <v>18648.054662</v>
      </c>
      <c r="P23" s="91">
        <v>0.0595638971</v>
      </c>
    </row>
    <row r="24" spans="1:16" ht="12.75">
      <c r="A24" s="79">
        <v>22</v>
      </c>
      <c r="B24" s="81" t="s">
        <v>89</v>
      </c>
      <c r="C24" s="90">
        <v>73</v>
      </c>
      <c r="D24" s="119">
        <v>1</v>
      </c>
      <c r="E24" s="90">
        <v>157273.75406882996</v>
      </c>
      <c r="F24" s="92">
        <f t="shared" si="0"/>
        <v>0.008271644376953127</v>
      </c>
      <c r="G24" s="93">
        <f t="shared" si="2"/>
        <v>15207.753014159935</v>
      </c>
      <c r="H24" s="92">
        <v>0.09669606416023076</v>
      </c>
      <c r="I24" s="93">
        <v>73436.820279</v>
      </c>
      <c r="J24" s="92">
        <f t="shared" si="1"/>
        <v>0.009924589353552046</v>
      </c>
      <c r="K24" s="93">
        <v>10545.19796</v>
      </c>
      <c r="L24" s="91">
        <v>0.1435955141</v>
      </c>
      <c r="N24" s="90">
        <v>384</v>
      </c>
      <c r="O24" s="93">
        <v>22018.438561</v>
      </c>
      <c r="P24" s="91">
        <v>0.0492783524</v>
      </c>
    </row>
    <row r="25" spans="1:16" ht="12.75">
      <c r="A25" s="79">
        <v>23</v>
      </c>
      <c r="B25" s="81" t="s">
        <v>90</v>
      </c>
      <c r="C25" s="90">
        <v>15</v>
      </c>
      <c r="D25" s="119">
        <v>0.2</v>
      </c>
      <c r="E25" s="90">
        <v>61839.72316138999</v>
      </c>
      <c r="F25" s="92">
        <f t="shared" si="0"/>
        <v>0.0032523938999789335</v>
      </c>
      <c r="G25" s="93">
        <f t="shared" si="2"/>
        <v>9460.73522577866</v>
      </c>
      <c r="H25" s="92">
        <v>0.15298799448192757</v>
      </c>
      <c r="I25" s="93">
        <v>17562.899275</v>
      </c>
      <c r="J25" s="92">
        <f t="shared" si="1"/>
        <v>0.0023735309140558757</v>
      </c>
      <c r="K25" s="93">
        <v>4711.4440691</v>
      </c>
      <c r="L25" s="91">
        <v>0.2682611792</v>
      </c>
      <c r="N25" s="90">
        <v>413</v>
      </c>
      <c r="O25" s="93">
        <v>7737.1658738</v>
      </c>
      <c r="P25" s="91">
        <v>0.0202678703</v>
      </c>
    </row>
    <row r="26" spans="1:16" ht="12.75">
      <c r="A26" s="79">
        <v>24</v>
      </c>
      <c r="B26" s="81" t="s">
        <v>91</v>
      </c>
      <c r="C26" s="90">
        <v>1960</v>
      </c>
      <c r="D26" s="119">
        <v>25.5</v>
      </c>
      <c r="E26" s="90">
        <v>1888997.1955342002</v>
      </c>
      <c r="F26" s="92">
        <f t="shared" si="0"/>
        <v>0.09934978104282073</v>
      </c>
      <c r="G26" s="93">
        <f t="shared" si="2"/>
        <v>53830.56876617403</v>
      </c>
      <c r="H26" s="92">
        <v>0.028496902427084324</v>
      </c>
      <c r="I26" s="93">
        <v>1835723</v>
      </c>
      <c r="J26" s="92">
        <f t="shared" si="1"/>
        <v>0.2480880418386044</v>
      </c>
      <c r="K26" s="93">
        <v>2.2691510318</v>
      </c>
      <c r="L26" s="91">
        <v>1.2361075E-06</v>
      </c>
      <c r="N26" s="90">
        <v>1869</v>
      </c>
      <c r="O26" s="93">
        <v>10579.817088</v>
      </c>
      <c r="P26" s="91">
        <v>0.0065411871</v>
      </c>
    </row>
    <row r="27" spans="1:16" ht="12.75">
      <c r="A27" s="79">
        <v>25</v>
      </c>
      <c r="B27" s="81" t="s">
        <v>92</v>
      </c>
      <c r="C27" s="90">
        <v>188</v>
      </c>
      <c r="D27" s="119">
        <v>2.4</v>
      </c>
      <c r="E27" s="90">
        <v>464224.64223502995</v>
      </c>
      <c r="F27" s="92">
        <f t="shared" si="0"/>
        <v>0.0244153970528735</v>
      </c>
      <c r="G27" s="93">
        <f t="shared" si="2"/>
        <v>26369.18034746816</v>
      </c>
      <c r="H27" s="92">
        <v>0.05680262947807462</v>
      </c>
      <c r="I27" s="93">
        <v>200315.78447</v>
      </c>
      <c r="J27" s="92">
        <f t="shared" si="1"/>
        <v>0.02707159561574716</v>
      </c>
      <c r="K27" s="93">
        <v>19024.30388</v>
      </c>
      <c r="L27" s="91">
        <v>0.0949715667</v>
      </c>
      <c r="N27" s="90">
        <v>1948</v>
      </c>
      <c r="O27" s="93">
        <v>19673.281058</v>
      </c>
      <c r="P27" s="91">
        <v>0.0101765848</v>
      </c>
    </row>
    <row r="28" spans="1:16" ht="12.75">
      <c r="A28" s="79">
        <v>26</v>
      </c>
      <c r="B28" s="81" t="s">
        <v>93</v>
      </c>
      <c r="C28" s="100">
        <v>74</v>
      </c>
      <c r="D28" s="108">
        <v>1</v>
      </c>
      <c r="E28" s="100">
        <v>412432.04239815</v>
      </c>
      <c r="F28" s="102">
        <f t="shared" si="0"/>
        <v>0.021691420825911814</v>
      </c>
      <c r="G28" s="93">
        <f t="shared" si="2"/>
        <v>24829.732491049363</v>
      </c>
      <c r="H28" s="102">
        <v>0.06020320910730659</v>
      </c>
      <c r="I28" s="103">
        <v>77489.692307</v>
      </c>
      <c r="J28" s="102">
        <f t="shared" si="1"/>
        <v>0.010472313103403725</v>
      </c>
      <c r="K28" s="103">
        <v>10499.795238</v>
      </c>
      <c r="L28" s="101">
        <v>0.1354992506</v>
      </c>
      <c r="N28" s="100">
        <v>1960</v>
      </c>
      <c r="O28" s="103">
        <v>2.2691510318</v>
      </c>
      <c r="P28" s="101">
        <v>1.2361075E-06</v>
      </c>
    </row>
    <row r="29" spans="2:16" ht="12.75">
      <c r="B29" s="81" t="s">
        <v>94</v>
      </c>
      <c r="C29" s="104">
        <v>7682</v>
      </c>
      <c r="D29" s="105">
        <v>100</v>
      </c>
      <c r="E29" s="104">
        <v>19013601.999988545</v>
      </c>
      <c r="F29" s="105">
        <v>100</v>
      </c>
      <c r="G29" s="120">
        <f t="shared" si="2"/>
        <v>174168.49240031655</v>
      </c>
      <c r="H29" s="121">
        <v>0.00916020501535803</v>
      </c>
      <c r="I29" s="104">
        <v>7399482</v>
      </c>
      <c r="J29" s="105">
        <v>100</v>
      </c>
      <c r="K29" s="104">
        <v>18006.626421</v>
      </c>
      <c r="L29" s="106">
        <v>0.0024334982</v>
      </c>
      <c r="N29" s="104">
        <v>7682</v>
      </c>
      <c r="O29" s="104">
        <v>18006.626421</v>
      </c>
      <c r="P29" s="106">
        <v>0.0024334982</v>
      </c>
    </row>
  </sheetData>
  <mergeCells count="3">
    <mergeCell ref="I2:L2"/>
    <mergeCell ref="C2:D2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and Community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HORNS</dc:creator>
  <cp:keywords/>
  <dc:description/>
  <cp:lastModifiedBy>nw</cp:lastModifiedBy>
  <cp:lastPrinted>2004-12-08T05:25:53Z</cp:lastPrinted>
  <dcterms:created xsi:type="dcterms:W3CDTF">2004-12-08T05:23:36Z</dcterms:created>
  <dcterms:modified xsi:type="dcterms:W3CDTF">2005-01-17T22:11:37Z</dcterms:modified>
  <cp:category/>
  <cp:version/>
  <cp:contentType/>
  <cp:contentStatus/>
</cp:coreProperties>
</file>